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ichova\Desktop\5. Hřbitov chodníky\4. VŘ\PD pro VŘ\VV, Rozpočet\SO 01_VV, rozpočet\"/>
    </mc:Choice>
  </mc:AlternateContent>
  <xr:revisionPtr revIDLastSave="0" documentId="13_ncr:1_{D0057116-B5DC-4476-8AD0-0EAC80571298}" xr6:coauthVersionLast="47" xr6:coauthVersionMax="47" xr10:uidLastSave="{00000000-0000-0000-0000-000000000000}"/>
  <bookViews>
    <workbookView xWindow="3840" yWindow="735" windowWidth="16980" windowHeight="15270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Z67" i="1" l="1"/>
  <c r="AB67" i="1"/>
  <c r="AC67" i="1"/>
  <c r="AD67" i="1"/>
  <c r="AE67" i="1"/>
  <c r="AF67" i="1"/>
  <c r="AG67" i="1"/>
  <c r="AH67" i="1"/>
  <c r="AJ67" i="1"/>
  <c r="AK67" i="1"/>
  <c r="AL67" i="1"/>
  <c r="AO67" i="1"/>
  <c r="AP67" i="1"/>
  <c r="AW67" i="1"/>
  <c r="BC67" i="1" s="1"/>
  <c r="AX67" i="1"/>
  <c r="BD67" i="1"/>
  <c r="BF67" i="1"/>
  <c r="BH67" i="1"/>
  <c r="BI67" i="1"/>
  <c r="BJ67" i="1"/>
  <c r="BM67" i="1"/>
  <c r="F44" i="3"/>
  <c r="I44" i="3" s="1"/>
  <c r="F43" i="3"/>
  <c r="I43" i="3" s="1"/>
  <c r="F42" i="3"/>
  <c r="I42" i="3" s="1"/>
  <c r="F40" i="3"/>
  <c r="I40" i="3" s="1"/>
  <c r="F39" i="3"/>
  <c r="I39" i="3" s="1"/>
  <c r="F38" i="3"/>
  <c r="I38" i="3" s="1"/>
  <c r="F36" i="3"/>
  <c r="I36" i="3" s="1"/>
  <c r="I26" i="3"/>
  <c r="I25" i="3"/>
  <c r="I24" i="3"/>
  <c r="I23" i="3"/>
  <c r="I16" i="2" s="1"/>
  <c r="I22" i="3"/>
  <c r="I21" i="3"/>
  <c r="I27" i="3" s="1"/>
  <c r="I17" i="3"/>
  <c r="I16" i="3"/>
  <c r="I15" i="3"/>
  <c r="I18" i="3" s="1"/>
  <c r="F29" i="3" s="1"/>
  <c r="I10" i="3"/>
  <c r="F10" i="3"/>
  <c r="C10" i="3"/>
  <c r="F8" i="3"/>
  <c r="C8" i="3"/>
  <c r="F6" i="3"/>
  <c r="C6" i="3"/>
  <c r="F4" i="3"/>
  <c r="C4" i="3"/>
  <c r="F2" i="3"/>
  <c r="C2" i="3"/>
  <c r="I19" i="2"/>
  <c r="I18" i="2"/>
  <c r="I17" i="2"/>
  <c r="F16" i="2"/>
  <c r="I15" i="2"/>
  <c r="F15" i="2"/>
  <c r="I14" i="2"/>
  <c r="I22" i="2" s="1"/>
  <c r="F14" i="2"/>
  <c r="F22" i="2" s="1"/>
  <c r="C10" i="2"/>
  <c r="F6" i="2"/>
  <c r="C6" i="2"/>
  <c r="F4" i="2"/>
  <c r="C4" i="2"/>
  <c r="F2" i="2"/>
  <c r="C2" i="2"/>
  <c r="BS73" i="1"/>
  <c r="F41" i="3" s="1"/>
  <c r="I41" i="3" s="1"/>
  <c r="BJ73" i="1"/>
  <c r="BF73" i="1"/>
  <c r="BD73" i="1"/>
  <c r="AP73" i="1"/>
  <c r="AX73" i="1" s="1"/>
  <c r="AO73" i="1"/>
  <c r="H73" i="1" s="1"/>
  <c r="H72" i="1" s="1"/>
  <c r="AK73" i="1"/>
  <c r="AT72" i="1" s="1"/>
  <c r="AJ73" i="1"/>
  <c r="AS72" i="1" s="1"/>
  <c r="AH73" i="1"/>
  <c r="AG73" i="1"/>
  <c r="AF73" i="1"/>
  <c r="AE73" i="1"/>
  <c r="AD73" i="1"/>
  <c r="AC73" i="1"/>
  <c r="AB73" i="1"/>
  <c r="Z73" i="1"/>
  <c r="J73" i="1"/>
  <c r="AL73" i="1" s="1"/>
  <c r="AU72" i="1" s="1"/>
  <c r="I73" i="1"/>
  <c r="I72" i="1" s="1"/>
  <c r="BO71" i="1"/>
  <c r="BJ71" i="1"/>
  <c r="BF71" i="1"/>
  <c r="BD71" i="1"/>
  <c r="AP71" i="1"/>
  <c r="AX71" i="1" s="1"/>
  <c r="AO71" i="1"/>
  <c r="AW71" i="1" s="1"/>
  <c r="AK71" i="1"/>
  <c r="AJ71" i="1"/>
  <c r="AH71" i="1"/>
  <c r="AG71" i="1"/>
  <c r="AF71" i="1"/>
  <c r="AE71" i="1"/>
  <c r="AD71" i="1"/>
  <c r="AC71" i="1"/>
  <c r="AB71" i="1"/>
  <c r="Z71" i="1"/>
  <c r="J71" i="1"/>
  <c r="AL71" i="1" s="1"/>
  <c r="BO70" i="1"/>
  <c r="BJ70" i="1"/>
  <c r="BF70" i="1"/>
  <c r="BD70" i="1"/>
  <c r="AP70" i="1"/>
  <c r="BI70" i="1" s="1"/>
  <c r="AO70" i="1"/>
  <c r="BH70" i="1" s="1"/>
  <c r="AK70" i="1"/>
  <c r="AJ70" i="1"/>
  <c r="AH70" i="1"/>
  <c r="AG70" i="1"/>
  <c r="AF70" i="1"/>
  <c r="AE70" i="1"/>
  <c r="AD70" i="1"/>
  <c r="AC70" i="1"/>
  <c r="AB70" i="1"/>
  <c r="Z70" i="1"/>
  <c r="J70" i="1"/>
  <c r="AL70" i="1" s="1"/>
  <c r="BO69" i="1"/>
  <c r="BJ69" i="1"/>
  <c r="BF69" i="1"/>
  <c r="BD69" i="1"/>
  <c r="AP69" i="1"/>
  <c r="AX69" i="1" s="1"/>
  <c r="AO69" i="1"/>
  <c r="H69" i="1" s="1"/>
  <c r="AK69" i="1"/>
  <c r="AJ69" i="1"/>
  <c r="AH69" i="1"/>
  <c r="AG69" i="1"/>
  <c r="AF69" i="1"/>
  <c r="AE69" i="1"/>
  <c r="AD69" i="1"/>
  <c r="AC69" i="1"/>
  <c r="AB69" i="1"/>
  <c r="Z69" i="1"/>
  <c r="J69" i="1"/>
  <c r="AL69" i="1" s="1"/>
  <c r="BM66" i="1"/>
  <c r="BJ66" i="1"/>
  <c r="BF66" i="1"/>
  <c r="BD66" i="1"/>
  <c r="AP66" i="1"/>
  <c r="BI66" i="1" s="1"/>
  <c r="AO66" i="1"/>
  <c r="BH66" i="1" s="1"/>
  <c r="AK66" i="1"/>
  <c r="AJ66" i="1"/>
  <c r="AH66" i="1"/>
  <c r="AG66" i="1"/>
  <c r="AF66" i="1"/>
  <c r="AE66" i="1"/>
  <c r="AD66" i="1"/>
  <c r="AC66" i="1"/>
  <c r="AB66" i="1"/>
  <c r="Z66" i="1"/>
  <c r="J66" i="1"/>
  <c r="AL66" i="1" s="1"/>
  <c r="BM65" i="1"/>
  <c r="F35" i="3" s="1"/>
  <c r="I35" i="3" s="1"/>
  <c r="BJ65" i="1"/>
  <c r="BF65" i="1"/>
  <c r="BD65" i="1"/>
  <c r="AP65" i="1"/>
  <c r="I65" i="1" s="1"/>
  <c r="AO65" i="1"/>
  <c r="H65" i="1" s="1"/>
  <c r="AK65" i="1"/>
  <c r="AJ65" i="1"/>
  <c r="AH65" i="1"/>
  <c r="AG65" i="1"/>
  <c r="AF65" i="1"/>
  <c r="AE65" i="1"/>
  <c r="AD65" i="1"/>
  <c r="AC65" i="1"/>
  <c r="AB65" i="1"/>
  <c r="Z65" i="1"/>
  <c r="J65" i="1"/>
  <c r="AL65" i="1" s="1"/>
  <c r="BJ62" i="1"/>
  <c r="Z62" i="1" s="1"/>
  <c r="BF62" i="1"/>
  <c r="BD62" i="1"/>
  <c r="AP62" i="1"/>
  <c r="BI62" i="1" s="1"/>
  <c r="AO62" i="1"/>
  <c r="BH62" i="1" s="1"/>
  <c r="AK62" i="1"/>
  <c r="AJ62" i="1"/>
  <c r="AH62" i="1"/>
  <c r="AG62" i="1"/>
  <c r="AF62" i="1"/>
  <c r="AE62" i="1"/>
  <c r="AD62" i="1"/>
  <c r="AC62" i="1"/>
  <c r="AB62" i="1"/>
  <c r="J62" i="1"/>
  <c r="AL62" i="1" s="1"/>
  <c r="BJ61" i="1"/>
  <c r="BH61" i="1"/>
  <c r="BF61" i="1"/>
  <c r="BD61" i="1"/>
  <c r="AW61" i="1"/>
  <c r="AP61" i="1"/>
  <c r="BI61" i="1" s="1"/>
  <c r="AO61" i="1"/>
  <c r="H61" i="1" s="1"/>
  <c r="AK61" i="1"/>
  <c r="AJ61" i="1"/>
  <c r="AH61" i="1"/>
  <c r="AG61" i="1"/>
  <c r="AF61" i="1"/>
  <c r="AE61" i="1"/>
  <c r="AD61" i="1"/>
  <c r="AC61" i="1"/>
  <c r="AB61" i="1"/>
  <c r="Z61" i="1"/>
  <c r="J61" i="1"/>
  <c r="AL61" i="1" s="1"/>
  <c r="BJ60" i="1"/>
  <c r="Z60" i="1" s="1"/>
  <c r="BF60" i="1"/>
  <c r="BD60" i="1"/>
  <c r="AP60" i="1"/>
  <c r="I60" i="1" s="1"/>
  <c r="AO60" i="1"/>
  <c r="H60" i="1" s="1"/>
  <c r="AK60" i="1"/>
  <c r="AJ60" i="1"/>
  <c r="AH60" i="1"/>
  <c r="AG60" i="1"/>
  <c r="AF60" i="1"/>
  <c r="AE60" i="1"/>
  <c r="AD60" i="1"/>
  <c r="AC60" i="1"/>
  <c r="AB60" i="1"/>
  <c r="J60" i="1"/>
  <c r="AL60" i="1" s="1"/>
  <c r="BJ59" i="1"/>
  <c r="Z59" i="1" s="1"/>
  <c r="BF59" i="1"/>
  <c r="BD59" i="1"/>
  <c r="AP59" i="1"/>
  <c r="I59" i="1" s="1"/>
  <c r="AO59" i="1"/>
  <c r="BH59" i="1" s="1"/>
  <c r="AK59" i="1"/>
  <c r="AJ59" i="1"/>
  <c r="AH59" i="1"/>
  <c r="AG59" i="1"/>
  <c r="AF59" i="1"/>
  <c r="AE59" i="1"/>
  <c r="AD59" i="1"/>
  <c r="AC59" i="1"/>
  <c r="AB59" i="1"/>
  <c r="J59" i="1"/>
  <c r="AL59" i="1" s="1"/>
  <c r="BJ58" i="1"/>
  <c r="Z58" i="1" s="1"/>
  <c r="BI58" i="1"/>
  <c r="BF58" i="1"/>
  <c r="BD58" i="1"/>
  <c r="AP58" i="1"/>
  <c r="AX58" i="1" s="1"/>
  <c r="AO58" i="1"/>
  <c r="H58" i="1" s="1"/>
  <c r="AK58" i="1"/>
  <c r="AJ58" i="1"/>
  <c r="AH58" i="1"/>
  <c r="AG58" i="1"/>
  <c r="AF58" i="1"/>
  <c r="AE58" i="1"/>
  <c r="AD58" i="1"/>
  <c r="AC58" i="1"/>
  <c r="AB58" i="1"/>
  <c r="J58" i="1"/>
  <c r="AL58" i="1" s="1"/>
  <c r="I58" i="1"/>
  <c r="BJ57" i="1"/>
  <c r="BF57" i="1"/>
  <c r="BD57" i="1"/>
  <c r="AW57" i="1"/>
  <c r="AP57" i="1"/>
  <c r="I57" i="1" s="1"/>
  <c r="AO57" i="1"/>
  <c r="H57" i="1" s="1"/>
  <c r="AK57" i="1"/>
  <c r="AJ57" i="1"/>
  <c r="AH57" i="1"/>
  <c r="AG57" i="1"/>
  <c r="AF57" i="1"/>
  <c r="AE57" i="1"/>
  <c r="AD57" i="1"/>
  <c r="AC57" i="1"/>
  <c r="AB57" i="1"/>
  <c r="Z57" i="1"/>
  <c r="J57" i="1"/>
  <c r="AL57" i="1" s="1"/>
  <c r="BJ56" i="1"/>
  <c r="Z56" i="1" s="1"/>
  <c r="BH56" i="1"/>
  <c r="BF56" i="1"/>
  <c r="BD56" i="1"/>
  <c r="AW56" i="1"/>
  <c r="AP56" i="1"/>
  <c r="I56" i="1" s="1"/>
  <c r="AO56" i="1"/>
  <c r="AL56" i="1"/>
  <c r="AK56" i="1"/>
  <c r="AJ56" i="1"/>
  <c r="AS55" i="1" s="1"/>
  <c r="AH56" i="1"/>
  <c r="AG56" i="1"/>
  <c r="AF56" i="1"/>
  <c r="AE56" i="1"/>
  <c r="AD56" i="1"/>
  <c r="AC56" i="1"/>
  <c r="AB56" i="1"/>
  <c r="J56" i="1"/>
  <c r="H56" i="1"/>
  <c r="BJ54" i="1"/>
  <c r="BF54" i="1"/>
  <c r="BD54" i="1"/>
  <c r="AP54" i="1"/>
  <c r="BI54" i="1" s="1"/>
  <c r="AC54" i="1" s="1"/>
  <c r="AO54" i="1"/>
  <c r="H54" i="1" s="1"/>
  <c r="AL54" i="1"/>
  <c r="AK54" i="1"/>
  <c r="AJ54" i="1"/>
  <c r="AH54" i="1"/>
  <c r="AG54" i="1"/>
  <c r="AF54" i="1"/>
  <c r="AE54" i="1"/>
  <c r="AD54" i="1"/>
  <c r="Z54" i="1"/>
  <c r="J54" i="1"/>
  <c r="BJ53" i="1"/>
  <c r="BI53" i="1"/>
  <c r="AC53" i="1" s="1"/>
  <c r="BF53" i="1"/>
  <c r="BD53" i="1"/>
  <c r="AX53" i="1"/>
  <c r="AP53" i="1"/>
  <c r="I53" i="1" s="1"/>
  <c r="AO53" i="1"/>
  <c r="H53" i="1" s="1"/>
  <c r="AK53" i="1"/>
  <c r="AJ53" i="1"/>
  <c r="AH53" i="1"/>
  <c r="AG53" i="1"/>
  <c r="AF53" i="1"/>
  <c r="AE53" i="1"/>
  <c r="AD53" i="1"/>
  <c r="Z53" i="1"/>
  <c r="J53" i="1"/>
  <c r="AL53" i="1" s="1"/>
  <c r="BJ52" i="1"/>
  <c r="BF52" i="1"/>
  <c r="BD52" i="1"/>
  <c r="AP52" i="1"/>
  <c r="I52" i="1" s="1"/>
  <c r="AO52" i="1"/>
  <c r="BH52" i="1" s="1"/>
  <c r="AB52" i="1" s="1"/>
  <c r="AL52" i="1"/>
  <c r="AK52" i="1"/>
  <c r="AJ52" i="1"/>
  <c r="AH52" i="1"/>
  <c r="AG52" i="1"/>
  <c r="AF52" i="1"/>
  <c r="AE52" i="1"/>
  <c r="AD52" i="1"/>
  <c r="Z52" i="1"/>
  <c r="J52" i="1"/>
  <c r="BJ51" i="1"/>
  <c r="BF51" i="1"/>
  <c r="BD51" i="1"/>
  <c r="AP51" i="1"/>
  <c r="BI51" i="1" s="1"/>
  <c r="AC51" i="1" s="1"/>
  <c r="AO51" i="1"/>
  <c r="H51" i="1" s="1"/>
  <c r="AK51" i="1"/>
  <c r="AJ51" i="1"/>
  <c r="AH51" i="1"/>
  <c r="AG51" i="1"/>
  <c r="AF51" i="1"/>
  <c r="AE51" i="1"/>
  <c r="AD51" i="1"/>
  <c r="Z51" i="1"/>
  <c r="J51" i="1"/>
  <c r="AL51" i="1" s="1"/>
  <c r="BJ50" i="1"/>
  <c r="BF50" i="1"/>
  <c r="BD50" i="1"/>
  <c r="AP50" i="1"/>
  <c r="I50" i="1" s="1"/>
  <c r="AO50" i="1"/>
  <c r="H50" i="1" s="1"/>
  <c r="AK50" i="1"/>
  <c r="AJ50" i="1"/>
  <c r="AH50" i="1"/>
  <c r="AG50" i="1"/>
  <c r="AF50" i="1"/>
  <c r="AE50" i="1"/>
  <c r="AD50" i="1"/>
  <c r="Z50" i="1"/>
  <c r="J50" i="1"/>
  <c r="AL50" i="1" s="1"/>
  <c r="BJ48" i="1"/>
  <c r="BF48" i="1"/>
  <c r="BD48" i="1"/>
  <c r="AP48" i="1"/>
  <c r="BI48" i="1" s="1"/>
  <c r="AC48" i="1" s="1"/>
  <c r="AO48" i="1"/>
  <c r="BH48" i="1" s="1"/>
  <c r="AB48" i="1" s="1"/>
  <c r="AK48" i="1"/>
  <c r="AJ48" i="1"/>
  <c r="AH48" i="1"/>
  <c r="AG48" i="1"/>
  <c r="AF48" i="1"/>
  <c r="AE48" i="1"/>
  <c r="AD48" i="1"/>
  <c r="Z48" i="1"/>
  <c r="J48" i="1"/>
  <c r="BJ47" i="1"/>
  <c r="BF47" i="1"/>
  <c r="BD47" i="1"/>
  <c r="AW47" i="1"/>
  <c r="AP47" i="1"/>
  <c r="BI47" i="1" s="1"/>
  <c r="AC47" i="1" s="1"/>
  <c r="AO47" i="1"/>
  <c r="H47" i="1" s="1"/>
  <c r="AK47" i="1"/>
  <c r="AJ47" i="1"/>
  <c r="AH47" i="1"/>
  <c r="AG47" i="1"/>
  <c r="AF47" i="1"/>
  <c r="AE47" i="1"/>
  <c r="AD47" i="1"/>
  <c r="Z47" i="1"/>
  <c r="J47" i="1"/>
  <c r="AL47" i="1" s="1"/>
  <c r="I47" i="1"/>
  <c r="BJ45" i="1"/>
  <c r="BF45" i="1"/>
  <c r="BD45" i="1"/>
  <c r="AP45" i="1"/>
  <c r="BI45" i="1" s="1"/>
  <c r="AC45" i="1" s="1"/>
  <c r="AO45" i="1"/>
  <c r="H45" i="1" s="1"/>
  <c r="AK45" i="1"/>
  <c r="AJ45" i="1"/>
  <c r="AH45" i="1"/>
  <c r="AG45" i="1"/>
  <c r="AF45" i="1"/>
  <c r="AE45" i="1"/>
  <c r="AD45" i="1"/>
  <c r="Z45" i="1"/>
  <c r="J45" i="1"/>
  <c r="AL45" i="1" s="1"/>
  <c r="BJ44" i="1"/>
  <c r="BF44" i="1"/>
  <c r="BD44" i="1"/>
  <c r="AP44" i="1"/>
  <c r="AX44" i="1" s="1"/>
  <c r="AO44" i="1"/>
  <c r="AW44" i="1" s="1"/>
  <c r="AK44" i="1"/>
  <c r="AJ44" i="1"/>
  <c r="AH44" i="1"/>
  <c r="AG44" i="1"/>
  <c r="AF44" i="1"/>
  <c r="AE44" i="1"/>
  <c r="AD44" i="1"/>
  <c r="Z44" i="1"/>
  <c r="J44" i="1"/>
  <c r="AL44" i="1" s="1"/>
  <c r="I44" i="1"/>
  <c r="BJ43" i="1"/>
  <c r="BF43" i="1"/>
  <c r="BD43" i="1"/>
  <c r="AP43" i="1"/>
  <c r="AX43" i="1" s="1"/>
  <c r="AO43" i="1"/>
  <c r="AW43" i="1" s="1"/>
  <c r="AK43" i="1"/>
  <c r="AJ43" i="1"/>
  <c r="AH43" i="1"/>
  <c r="AG43" i="1"/>
  <c r="AF43" i="1"/>
  <c r="AE43" i="1"/>
  <c r="AD43" i="1"/>
  <c r="Z43" i="1"/>
  <c r="J43" i="1"/>
  <c r="AL43" i="1" s="1"/>
  <c r="BJ42" i="1"/>
  <c r="BI42" i="1"/>
  <c r="AC42" i="1" s="1"/>
  <c r="BF42" i="1"/>
  <c r="BD42" i="1"/>
  <c r="AP42" i="1"/>
  <c r="AX42" i="1" s="1"/>
  <c r="AO42" i="1"/>
  <c r="BH42" i="1" s="1"/>
  <c r="AB42" i="1" s="1"/>
  <c r="AK42" i="1"/>
  <c r="AJ42" i="1"/>
  <c r="AH42" i="1"/>
  <c r="AG42" i="1"/>
  <c r="AF42" i="1"/>
  <c r="AE42" i="1"/>
  <c r="AD42" i="1"/>
  <c r="Z42" i="1"/>
  <c r="J42" i="1"/>
  <c r="AL42" i="1" s="1"/>
  <c r="BJ41" i="1"/>
  <c r="BF41" i="1"/>
  <c r="BD41" i="1"/>
  <c r="AP41" i="1"/>
  <c r="BI41" i="1" s="1"/>
  <c r="AC41" i="1" s="1"/>
  <c r="AO41" i="1"/>
  <c r="BH41" i="1" s="1"/>
  <c r="AB41" i="1" s="1"/>
  <c r="AK41" i="1"/>
  <c r="AJ41" i="1"/>
  <c r="AH41" i="1"/>
  <c r="AG41" i="1"/>
  <c r="AF41" i="1"/>
  <c r="AE41" i="1"/>
  <c r="AD41" i="1"/>
  <c r="Z41" i="1"/>
  <c r="J41" i="1"/>
  <c r="H41" i="1"/>
  <c r="BJ40" i="1"/>
  <c r="BF40" i="1"/>
  <c r="BD40" i="1"/>
  <c r="AP40" i="1"/>
  <c r="BI40" i="1" s="1"/>
  <c r="AC40" i="1" s="1"/>
  <c r="AO40" i="1"/>
  <c r="H40" i="1" s="1"/>
  <c r="AL40" i="1"/>
  <c r="AK40" i="1"/>
  <c r="AJ40" i="1"/>
  <c r="AH40" i="1"/>
  <c r="AG40" i="1"/>
  <c r="AF40" i="1"/>
  <c r="AE40" i="1"/>
  <c r="AD40" i="1"/>
  <c r="Z40" i="1"/>
  <c r="J40" i="1"/>
  <c r="I40" i="1"/>
  <c r="BJ38" i="1"/>
  <c r="BF38" i="1"/>
  <c r="BD38" i="1"/>
  <c r="AP38" i="1"/>
  <c r="BI38" i="1" s="1"/>
  <c r="AC38" i="1" s="1"/>
  <c r="AO38" i="1"/>
  <c r="BH38" i="1" s="1"/>
  <c r="AB38" i="1" s="1"/>
  <c r="AL38" i="1"/>
  <c r="AK38" i="1"/>
  <c r="AJ38" i="1"/>
  <c r="AH38" i="1"/>
  <c r="AG38" i="1"/>
  <c r="AF38" i="1"/>
  <c r="AE38" i="1"/>
  <c r="AD38" i="1"/>
  <c r="Z38" i="1"/>
  <c r="J38" i="1"/>
  <c r="I38" i="1"/>
  <c r="H38" i="1"/>
  <c r="BJ37" i="1"/>
  <c r="BI37" i="1"/>
  <c r="AC37" i="1" s="1"/>
  <c r="BF37" i="1"/>
  <c r="BD37" i="1"/>
  <c r="AP37" i="1"/>
  <c r="AX37" i="1" s="1"/>
  <c r="AO37" i="1"/>
  <c r="AW37" i="1" s="1"/>
  <c r="AL37" i="1"/>
  <c r="AK37" i="1"/>
  <c r="AT36" i="1" s="1"/>
  <c r="AJ37" i="1"/>
  <c r="AH37" i="1"/>
  <c r="AG37" i="1"/>
  <c r="AF37" i="1"/>
  <c r="AE37" i="1"/>
  <c r="AD37" i="1"/>
  <c r="Z37" i="1"/>
  <c r="J37" i="1"/>
  <c r="J36" i="1" s="1"/>
  <c r="I37" i="1"/>
  <c r="H37" i="1"/>
  <c r="AU36" i="1"/>
  <c r="AS36" i="1"/>
  <c r="BJ35" i="1"/>
  <c r="BF35" i="1"/>
  <c r="BD35" i="1"/>
  <c r="AP35" i="1"/>
  <c r="BI35" i="1" s="1"/>
  <c r="AC35" i="1" s="1"/>
  <c r="AO35" i="1"/>
  <c r="H35" i="1" s="1"/>
  <c r="AK35" i="1"/>
  <c r="AJ35" i="1"/>
  <c r="AH35" i="1"/>
  <c r="AG35" i="1"/>
  <c r="AF35" i="1"/>
  <c r="AE35" i="1"/>
  <c r="AD35" i="1"/>
  <c r="Z35" i="1"/>
  <c r="J35" i="1"/>
  <c r="AL35" i="1" s="1"/>
  <c r="BJ34" i="1"/>
  <c r="BF34" i="1"/>
  <c r="BD34" i="1"/>
  <c r="AP34" i="1"/>
  <c r="I34" i="1" s="1"/>
  <c r="AO34" i="1"/>
  <c r="H34" i="1" s="1"/>
  <c r="AK34" i="1"/>
  <c r="AJ34" i="1"/>
  <c r="AS29" i="1" s="1"/>
  <c r="AH34" i="1"/>
  <c r="AG34" i="1"/>
  <c r="AF34" i="1"/>
  <c r="AE34" i="1"/>
  <c r="AD34" i="1"/>
  <c r="Z34" i="1"/>
  <c r="J34" i="1"/>
  <c r="AL34" i="1" s="1"/>
  <c r="BJ33" i="1"/>
  <c r="BF33" i="1"/>
  <c r="BD33" i="1"/>
  <c r="AP33" i="1"/>
  <c r="I33" i="1" s="1"/>
  <c r="AO33" i="1"/>
  <c r="BH33" i="1" s="1"/>
  <c r="AB33" i="1" s="1"/>
  <c r="AK33" i="1"/>
  <c r="AJ33" i="1"/>
  <c r="AH33" i="1"/>
  <c r="AG33" i="1"/>
  <c r="AF33" i="1"/>
  <c r="AE33" i="1"/>
  <c r="AD33" i="1"/>
  <c r="Z33" i="1"/>
  <c r="J33" i="1"/>
  <c r="AL33" i="1" s="1"/>
  <c r="BJ32" i="1"/>
  <c r="BI32" i="1"/>
  <c r="AC32" i="1" s="1"/>
  <c r="BF32" i="1"/>
  <c r="BD32" i="1"/>
  <c r="AP32" i="1"/>
  <c r="AX32" i="1" s="1"/>
  <c r="AO32" i="1"/>
  <c r="BH32" i="1" s="1"/>
  <c r="AB32" i="1" s="1"/>
  <c r="AK32" i="1"/>
  <c r="AJ32" i="1"/>
  <c r="AH32" i="1"/>
  <c r="AG32" i="1"/>
  <c r="AF32" i="1"/>
  <c r="AE32" i="1"/>
  <c r="AD32" i="1"/>
  <c r="Z32" i="1"/>
  <c r="J32" i="1"/>
  <c r="AL32" i="1" s="1"/>
  <c r="I32" i="1"/>
  <c r="H32" i="1"/>
  <c r="BJ31" i="1"/>
  <c r="BF31" i="1"/>
  <c r="BD31" i="1"/>
  <c r="AP31" i="1"/>
  <c r="BI31" i="1" s="1"/>
  <c r="AC31" i="1" s="1"/>
  <c r="AO31" i="1"/>
  <c r="BH31" i="1" s="1"/>
  <c r="AB31" i="1" s="1"/>
  <c r="AL31" i="1"/>
  <c r="AK31" i="1"/>
  <c r="AJ31" i="1"/>
  <c r="AH31" i="1"/>
  <c r="AG31" i="1"/>
  <c r="AF31" i="1"/>
  <c r="AE31" i="1"/>
  <c r="AD31" i="1"/>
  <c r="Z31" i="1"/>
  <c r="J31" i="1"/>
  <c r="BJ30" i="1"/>
  <c r="BF30" i="1"/>
  <c r="BD30" i="1"/>
  <c r="AP30" i="1"/>
  <c r="BI30" i="1" s="1"/>
  <c r="AC30" i="1" s="1"/>
  <c r="AO30" i="1"/>
  <c r="AW30" i="1" s="1"/>
  <c r="AL30" i="1"/>
  <c r="AK30" i="1"/>
  <c r="AJ30" i="1"/>
  <c r="AH30" i="1"/>
  <c r="AG30" i="1"/>
  <c r="AF30" i="1"/>
  <c r="AE30" i="1"/>
  <c r="AD30" i="1"/>
  <c r="Z30" i="1"/>
  <c r="J30" i="1"/>
  <c r="H30" i="1"/>
  <c r="BJ28" i="1"/>
  <c r="BF28" i="1"/>
  <c r="BD28" i="1"/>
  <c r="AP28" i="1"/>
  <c r="BI28" i="1" s="1"/>
  <c r="AC28" i="1" s="1"/>
  <c r="AO28" i="1"/>
  <c r="H28" i="1" s="1"/>
  <c r="AK28" i="1"/>
  <c r="AJ28" i="1"/>
  <c r="AH28" i="1"/>
  <c r="AG28" i="1"/>
  <c r="AF28" i="1"/>
  <c r="AE28" i="1"/>
  <c r="AD28" i="1"/>
  <c r="Z28" i="1"/>
  <c r="J28" i="1"/>
  <c r="AL28" i="1" s="1"/>
  <c r="I28" i="1"/>
  <c r="BJ27" i="1"/>
  <c r="BF27" i="1"/>
  <c r="BD27" i="1"/>
  <c r="AP27" i="1"/>
  <c r="I27" i="1" s="1"/>
  <c r="AO27" i="1"/>
  <c r="H27" i="1" s="1"/>
  <c r="AK27" i="1"/>
  <c r="AJ27" i="1"/>
  <c r="AS22" i="1" s="1"/>
  <c r="AH27" i="1"/>
  <c r="AG27" i="1"/>
  <c r="AF27" i="1"/>
  <c r="AE27" i="1"/>
  <c r="AD27" i="1"/>
  <c r="Z27" i="1"/>
  <c r="J27" i="1"/>
  <c r="AL27" i="1" s="1"/>
  <c r="BJ26" i="1"/>
  <c r="BF26" i="1"/>
  <c r="BD26" i="1"/>
  <c r="AP26" i="1"/>
  <c r="I26" i="1" s="1"/>
  <c r="AO26" i="1"/>
  <c r="BH26" i="1" s="1"/>
  <c r="AB26" i="1" s="1"/>
  <c r="AK26" i="1"/>
  <c r="AJ26" i="1"/>
  <c r="AH26" i="1"/>
  <c r="AG26" i="1"/>
  <c r="AF26" i="1"/>
  <c r="AE26" i="1"/>
  <c r="AD26" i="1"/>
  <c r="Z26" i="1"/>
  <c r="J26" i="1"/>
  <c r="AL26" i="1" s="1"/>
  <c r="BJ25" i="1"/>
  <c r="BF25" i="1"/>
  <c r="BD25" i="1"/>
  <c r="AW25" i="1"/>
  <c r="AP25" i="1"/>
  <c r="BI25" i="1" s="1"/>
  <c r="AC25" i="1" s="1"/>
  <c r="AO25" i="1"/>
  <c r="BH25" i="1" s="1"/>
  <c r="AB25" i="1" s="1"/>
  <c r="AK25" i="1"/>
  <c r="AJ25" i="1"/>
  <c r="AH25" i="1"/>
  <c r="AG25" i="1"/>
  <c r="AF25" i="1"/>
  <c r="AE25" i="1"/>
  <c r="AD25" i="1"/>
  <c r="Z25" i="1"/>
  <c r="J25" i="1"/>
  <c r="AL25" i="1" s="1"/>
  <c r="H25" i="1"/>
  <c r="BJ24" i="1"/>
  <c r="BF24" i="1"/>
  <c r="BD24" i="1"/>
  <c r="AP24" i="1"/>
  <c r="AX24" i="1" s="1"/>
  <c r="AO24" i="1"/>
  <c r="AW24" i="1" s="1"/>
  <c r="AK24" i="1"/>
  <c r="AJ24" i="1"/>
  <c r="AH24" i="1"/>
  <c r="AG24" i="1"/>
  <c r="AF24" i="1"/>
  <c r="AE24" i="1"/>
  <c r="AD24" i="1"/>
  <c r="Z24" i="1"/>
  <c r="J24" i="1"/>
  <c r="AL24" i="1" s="1"/>
  <c r="BJ23" i="1"/>
  <c r="BF23" i="1"/>
  <c r="BD23" i="1"/>
  <c r="AP23" i="1"/>
  <c r="BI23" i="1" s="1"/>
  <c r="AC23" i="1" s="1"/>
  <c r="AO23" i="1"/>
  <c r="AW23" i="1" s="1"/>
  <c r="AL23" i="1"/>
  <c r="AK23" i="1"/>
  <c r="AJ23" i="1"/>
  <c r="AH23" i="1"/>
  <c r="AG23" i="1"/>
  <c r="AF23" i="1"/>
  <c r="AE23" i="1"/>
  <c r="AD23" i="1"/>
  <c r="Z23" i="1"/>
  <c r="J23" i="1"/>
  <c r="BJ21" i="1"/>
  <c r="BI21" i="1"/>
  <c r="AC21" i="1" s="1"/>
  <c r="BF21" i="1"/>
  <c r="BD21" i="1"/>
  <c r="AP21" i="1"/>
  <c r="AX21" i="1" s="1"/>
  <c r="AO21" i="1"/>
  <c r="H21" i="1" s="1"/>
  <c r="AL21" i="1"/>
  <c r="AK21" i="1"/>
  <c r="AJ21" i="1"/>
  <c r="AH21" i="1"/>
  <c r="AG21" i="1"/>
  <c r="AF21" i="1"/>
  <c r="AE21" i="1"/>
  <c r="AD21" i="1"/>
  <c r="Z21" i="1"/>
  <c r="J21" i="1"/>
  <c r="I21" i="1"/>
  <c r="BJ20" i="1"/>
  <c r="BF20" i="1"/>
  <c r="BD20" i="1"/>
  <c r="AP20" i="1"/>
  <c r="I20" i="1" s="1"/>
  <c r="AO20" i="1"/>
  <c r="H20" i="1" s="1"/>
  <c r="AK20" i="1"/>
  <c r="AJ20" i="1"/>
  <c r="AH20" i="1"/>
  <c r="AG20" i="1"/>
  <c r="AF20" i="1"/>
  <c r="AE20" i="1"/>
  <c r="AD20" i="1"/>
  <c r="Z20" i="1"/>
  <c r="J20" i="1"/>
  <c r="AL20" i="1" s="1"/>
  <c r="BJ19" i="1"/>
  <c r="BF19" i="1"/>
  <c r="BD19" i="1"/>
  <c r="AP19" i="1"/>
  <c r="I19" i="1" s="1"/>
  <c r="AO19" i="1"/>
  <c r="BH19" i="1" s="1"/>
  <c r="AB19" i="1" s="1"/>
  <c r="AK19" i="1"/>
  <c r="AJ19" i="1"/>
  <c r="AH19" i="1"/>
  <c r="AG19" i="1"/>
  <c r="AF19" i="1"/>
  <c r="AE19" i="1"/>
  <c r="AD19" i="1"/>
  <c r="Z19" i="1"/>
  <c r="J19" i="1"/>
  <c r="AL19" i="1" s="1"/>
  <c r="BJ18" i="1"/>
  <c r="BF18" i="1"/>
  <c r="BD18" i="1"/>
  <c r="AP18" i="1"/>
  <c r="BI18" i="1" s="1"/>
  <c r="AC18" i="1" s="1"/>
  <c r="AO18" i="1"/>
  <c r="H18" i="1" s="1"/>
  <c r="AK18" i="1"/>
  <c r="AT17" i="1" s="1"/>
  <c r="AJ18" i="1"/>
  <c r="AS17" i="1" s="1"/>
  <c r="AH18" i="1"/>
  <c r="AG18" i="1"/>
  <c r="AF18" i="1"/>
  <c r="AE18" i="1"/>
  <c r="AD18" i="1"/>
  <c r="Z18" i="1"/>
  <c r="J18" i="1"/>
  <c r="AL18" i="1" s="1"/>
  <c r="BJ16" i="1"/>
  <c r="BF16" i="1"/>
  <c r="BD16" i="1"/>
  <c r="AP16" i="1"/>
  <c r="AX16" i="1" s="1"/>
  <c r="AO16" i="1"/>
  <c r="H16" i="1" s="1"/>
  <c r="AK16" i="1"/>
  <c r="AJ16" i="1"/>
  <c r="AH16" i="1"/>
  <c r="AG16" i="1"/>
  <c r="AF16" i="1"/>
  <c r="AE16" i="1"/>
  <c r="AD16" i="1"/>
  <c r="Z16" i="1"/>
  <c r="J16" i="1"/>
  <c r="AL16" i="1" s="1"/>
  <c r="BJ15" i="1"/>
  <c r="BF15" i="1"/>
  <c r="BD15" i="1"/>
  <c r="AP15" i="1"/>
  <c r="I15" i="1" s="1"/>
  <c r="AO15" i="1"/>
  <c r="BH15" i="1" s="1"/>
  <c r="AB15" i="1" s="1"/>
  <c r="AL15" i="1"/>
  <c r="AK15" i="1"/>
  <c r="AT14" i="1" s="1"/>
  <c r="AJ15" i="1"/>
  <c r="AH15" i="1"/>
  <c r="AG15" i="1"/>
  <c r="AF15" i="1"/>
  <c r="AE15" i="1"/>
  <c r="AD15" i="1"/>
  <c r="Z15" i="1"/>
  <c r="J15" i="1"/>
  <c r="BJ13" i="1"/>
  <c r="BF13" i="1"/>
  <c r="BD13" i="1"/>
  <c r="AP13" i="1"/>
  <c r="AX13" i="1" s="1"/>
  <c r="AO13" i="1"/>
  <c r="AW13" i="1" s="1"/>
  <c r="AK13" i="1"/>
  <c r="AJ13" i="1"/>
  <c r="AS12" i="1" s="1"/>
  <c r="AH13" i="1"/>
  <c r="AG13" i="1"/>
  <c r="AF13" i="1"/>
  <c r="AE13" i="1"/>
  <c r="AD13" i="1"/>
  <c r="Z13" i="1"/>
  <c r="J13" i="1"/>
  <c r="AL13" i="1" s="1"/>
  <c r="H13" i="1"/>
  <c r="H12" i="1" s="1"/>
  <c r="AT12" i="1"/>
  <c r="AU1" i="1"/>
  <c r="AT1" i="1"/>
  <c r="AS1" i="1"/>
  <c r="F37" i="3" l="1"/>
  <c r="I37" i="3" s="1"/>
  <c r="I70" i="1"/>
  <c r="BI73" i="1"/>
  <c r="BH71" i="1"/>
  <c r="I69" i="1"/>
  <c r="BI69" i="1"/>
  <c r="BI65" i="1"/>
  <c r="I45" i="1"/>
  <c r="I13" i="1"/>
  <c r="I12" i="1" s="1"/>
  <c r="AX45" i="1"/>
  <c r="AX28" i="1"/>
  <c r="H31" i="1"/>
  <c r="H43" i="1"/>
  <c r="AV67" i="1"/>
  <c r="AX19" i="1"/>
  <c r="AX25" i="1"/>
  <c r="AV25" i="1" s="1"/>
  <c r="H33" i="1"/>
  <c r="H29" i="1" s="1"/>
  <c r="AW40" i="1"/>
  <c r="I51" i="1"/>
  <c r="AX51" i="1"/>
  <c r="BH43" i="1"/>
  <c r="AB43" i="1" s="1"/>
  <c r="BC24" i="1"/>
  <c r="AT49" i="1"/>
  <c r="H19" i="1"/>
  <c r="H44" i="1"/>
  <c r="AT46" i="1"/>
  <c r="J55" i="1"/>
  <c r="I30" i="1"/>
  <c r="BI60" i="1"/>
  <c r="J12" i="1"/>
  <c r="I18" i="1"/>
  <c r="BI24" i="1"/>
  <c r="AC24" i="1" s="1"/>
  <c r="AX30" i="1"/>
  <c r="AX38" i="1"/>
  <c r="I42" i="1"/>
  <c r="BI44" i="1"/>
  <c r="AC44" i="1" s="1"/>
  <c r="H48" i="1"/>
  <c r="H46" i="1" s="1"/>
  <c r="I25" i="1"/>
  <c r="AW19" i="1"/>
  <c r="BC19" i="1" s="1"/>
  <c r="I24" i="1"/>
  <c r="I35" i="1"/>
  <c r="AX35" i="1"/>
  <c r="AS49" i="1"/>
  <c r="H52" i="1"/>
  <c r="AW32" i="1"/>
  <c r="AW33" i="1"/>
  <c r="I43" i="1"/>
  <c r="AW59" i="1"/>
  <c r="BI16" i="1"/>
  <c r="AC16" i="1" s="1"/>
  <c r="AW20" i="1"/>
  <c r="I23" i="1"/>
  <c r="I22" i="1" s="1"/>
  <c r="AX23" i="1"/>
  <c r="BH24" i="1"/>
  <c r="AB24" i="1" s="1"/>
  <c r="AX33" i="1"/>
  <c r="AV33" i="1" s="1"/>
  <c r="AW38" i="1"/>
  <c r="BH40" i="1"/>
  <c r="AB40" i="1" s="1"/>
  <c r="AW45" i="1"/>
  <c r="BC45" i="1" s="1"/>
  <c r="BH47" i="1"/>
  <c r="AB47" i="1" s="1"/>
  <c r="AT55" i="1"/>
  <c r="BI71" i="1"/>
  <c r="AU14" i="1"/>
  <c r="AW26" i="1"/>
  <c r="BC26" i="1" s="1"/>
  <c r="H36" i="1"/>
  <c r="J39" i="1"/>
  <c r="J46" i="1"/>
  <c r="AX56" i="1"/>
  <c r="AV56" i="1" s="1"/>
  <c r="AX60" i="1"/>
  <c r="AU29" i="1"/>
  <c r="AU17" i="1"/>
  <c r="H26" i="1"/>
  <c r="I31" i="1"/>
  <c r="AX26" i="1"/>
  <c r="AW31" i="1"/>
  <c r="BC31" i="1" s="1"/>
  <c r="AW34" i="1"/>
  <c r="AV34" i="1" s="1"/>
  <c r="I36" i="1"/>
  <c r="BH45" i="1"/>
  <c r="AB45" i="1" s="1"/>
  <c r="AS46" i="1"/>
  <c r="AW54" i="1"/>
  <c r="AT64" i="1"/>
  <c r="H23" i="1"/>
  <c r="BH13" i="1"/>
  <c r="AB13" i="1" s="1"/>
  <c r="H24" i="1"/>
  <c r="AT29" i="1"/>
  <c r="AX31" i="1"/>
  <c r="AW50" i="1"/>
  <c r="AW52" i="1"/>
  <c r="AV19" i="1"/>
  <c r="BH54" i="1"/>
  <c r="AB54" i="1" s="1"/>
  <c r="AX65" i="1"/>
  <c r="I16" i="1"/>
  <c r="I14" i="1" s="1"/>
  <c r="AW27" i="1"/>
  <c r="H59" i="1"/>
  <c r="H71" i="1"/>
  <c r="J29" i="1"/>
  <c r="I71" i="1"/>
  <c r="AS64" i="1"/>
  <c r="I45" i="3"/>
  <c r="I24" i="2" s="1"/>
  <c r="AS68" i="1"/>
  <c r="AT68" i="1"/>
  <c r="AS39" i="1"/>
  <c r="C17" i="2"/>
  <c r="AT39" i="1"/>
  <c r="H15" i="1"/>
  <c r="H14" i="1" s="1"/>
  <c r="C19" i="2"/>
  <c r="AW15" i="1"/>
  <c r="AS14" i="1"/>
  <c r="C20" i="2"/>
  <c r="AW18" i="1"/>
  <c r="AX18" i="1"/>
  <c r="BH18" i="1"/>
  <c r="AB18" i="1" s="1"/>
  <c r="I17" i="1"/>
  <c r="C21" i="2"/>
  <c r="C18" i="2"/>
  <c r="J22" i="1"/>
  <c r="C16" i="2"/>
  <c r="AU22" i="1"/>
  <c r="C28" i="2"/>
  <c r="F28" i="2" s="1"/>
  <c r="AT22" i="1"/>
  <c r="BC37" i="1"/>
  <c r="AV37" i="1"/>
  <c r="BC44" i="1"/>
  <c r="AV44" i="1"/>
  <c r="H49" i="1"/>
  <c r="AU68" i="1"/>
  <c r="H17" i="1"/>
  <c r="H22" i="1"/>
  <c r="AU49" i="1"/>
  <c r="AU64" i="1"/>
  <c r="BC71" i="1"/>
  <c r="AV71" i="1"/>
  <c r="BC30" i="1"/>
  <c r="AV30" i="1"/>
  <c r="BC13" i="1"/>
  <c r="AV13" i="1"/>
  <c r="AU55" i="1"/>
  <c r="BC43" i="1"/>
  <c r="AV43" i="1"/>
  <c r="BC23" i="1"/>
  <c r="AV23" i="1"/>
  <c r="I54" i="1"/>
  <c r="I49" i="1" s="1"/>
  <c r="I61" i="1"/>
  <c r="H62" i="1"/>
  <c r="H55" i="1" s="1"/>
  <c r="H66" i="1"/>
  <c r="H70" i="1"/>
  <c r="AU12" i="1"/>
  <c r="BI13" i="1"/>
  <c r="AC13" i="1" s="1"/>
  <c r="J17" i="1"/>
  <c r="AX20" i="1"/>
  <c r="AW21" i="1"/>
  <c r="BH23" i="1"/>
  <c r="AB23" i="1" s="1"/>
  <c r="AX27" i="1"/>
  <c r="AV27" i="1" s="1"/>
  <c r="AW28" i="1"/>
  <c r="BH30" i="1"/>
  <c r="AB30" i="1" s="1"/>
  <c r="BC33" i="1"/>
  <c r="AX34" i="1"/>
  <c r="AW35" i="1"/>
  <c r="BH37" i="1"/>
  <c r="AB37" i="1" s="1"/>
  <c r="I41" i="1"/>
  <c r="I39" i="1" s="1"/>
  <c r="AL41" i="1"/>
  <c r="C29" i="2" s="1"/>
  <c r="F29" i="2" s="1"/>
  <c r="H42" i="1"/>
  <c r="H39" i="1" s="1"/>
  <c r="BI43" i="1"/>
  <c r="AC43" i="1" s="1"/>
  <c r="BH44" i="1"/>
  <c r="AB44" i="1" s="1"/>
  <c r="I48" i="1"/>
  <c r="I46" i="1" s="1"/>
  <c r="AL48" i="1"/>
  <c r="AU46" i="1" s="1"/>
  <c r="AX50" i="1"/>
  <c r="AV50" i="1" s="1"/>
  <c r="AW51" i="1"/>
  <c r="AX57" i="1"/>
  <c r="BC57" i="1" s="1"/>
  <c r="AW58" i="1"/>
  <c r="I62" i="1"/>
  <c r="I66" i="1"/>
  <c r="I64" i="1" s="1"/>
  <c r="J49" i="1"/>
  <c r="AX52" i="1"/>
  <c r="AW53" i="1"/>
  <c r="AX59" i="1"/>
  <c r="AV59" i="1" s="1"/>
  <c r="AW60" i="1"/>
  <c r="AW65" i="1"/>
  <c r="AW69" i="1"/>
  <c r="AW73" i="1"/>
  <c r="BI19" i="1"/>
  <c r="AC19" i="1" s="1"/>
  <c r="BH20" i="1"/>
  <c r="AB20" i="1" s="1"/>
  <c r="BI26" i="1"/>
  <c r="AC26" i="1" s="1"/>
  <c r="BH27" i="1"/>
  <c r="AB27" i="1" s="1"/>
  <c r="BI33" i="1"/>
  <c r="AC33" i="1" s="1"/>
  <c r="BH34" i="1"/>
  <c r="AB34" i="1" s="1"/>
  <c r="AX40" i="1"/>
  <c r="AW41" i="1"/>
  <c r="AX47" i="1"/>
  <c r="AV47" i="1" s="1"/>
  <c r="AW48" i="1"/>
  <c r="BH50" i="1"/>
  <c r="AB50" i="1" s="1"/>
  <c r="AX54" i="1"/>
  <c r="BI56" i="1"/>
  <c r="BH57" i="1"/>
  <c r="AX61" i="1"/>
  <c r="BC61" i="1" s="1"/>
  <c r="AW62" i="1"/>
  <c r="AW66" i="1"/>
  <c r="AW70" i="1"/>
  <c r="AX15" i="1"/>
  <c r="BC15" i="1" s="1"/>
  <c r="AW16" i="1"/>
  <c r="BI20" i="1"/>
  <c r="AC20" i="1" s="1"/>
  <c r="BH21" i="1"/>
  <c r="AB21" i="1" s="1"/>
  <c r="BI27" i="1"/>
  <c r="AC27" i="1" s="1"/>
  <c r="BH28" i="1"/>
  <c r="AB28" i="1" s="1"/>
  <c r="BI34" i="1"/>
  <c r="AC34" i="1" s="1"/>
  <c r="BH35" i="1"/>
  <c r="AB35" i="1" s="1"/>
  <c r="AX41" i="1"/>
  <c r="AW42" i="1"/>
  <c r="AX48" i="1"/>
  <c r="BI50" i="1"/>
  <c r="AC50" i="1" s="1"/>
  <c r="BH51" i="1"/>
  <c r="AB51" i="1" s="1"/>
  <c r="BI57" i="1"/>
  <c r="BH58" i="1"/>
  <c r="AX62" i="1"/>
  <c r="J64" i="1"/>
  <c r="AX66" i="1"/>
  <c r="J68" i="1"/>
  <c r="AX70" i="1"/>
  <c r="J72" i="1"/>
  <c r="BC50" i="1"/>
  <c r="J14" i="1"/>
  <c r="BI15" i="1"/>
  <c r="AC15" i="1" s="1"/>
  <c r="BH16" i="1"/>
  <c r="AB16" i="1" s="1"/>
  <c r="AV24" i="1"/>
  <c r="AV31" i="1"/>
  <c r="AV38" i="1"/>
  <c r="BI52" i="1"/>
  <c r="AC52" i="1" s="1"/>
  <c r="BH53" i="1"/>
  <c r="AB53" i="1" s="1"/>
  <c r="BI59" i="1"/>
  <c r="BH60" i="1"/>
  <c r="BH65" i="1"/>
  <c r="BH69" i="1"/>
  <c r="BH73" i="1"/>
  <c r="C27" i="2"/>
  <c r="I68" i="1" l="1"/>
  <c r="AV40" i="1"/>
  <c r="BC52" i="1"/>
  <c r="BC59" i="1"/>
  <c r="BC20" i="1"/>
  <c r="I29" i="1"/>
  <c r="I63" i="1"/>
  <c r="BC32" i="1"/>
  <c r="AV32" i="1"/>
  <c r="H68" i="1"/>
  <c r="H63" i="1" s="1"/>
  <c r="AV54" i="1"/>
  <c r="BC38" i="1"/>
  <c r="BC25" i="1"/>
  <c r="AV45" i="1"/>
  <c r="AV61" i="1"/>
  <c r="BC56" i="1"/>
  <c r="BC34" i="1"/>
  <c r="AV15" i="1"/>
  <c r="I55" i="1"/>
  <c r="BC54" i="1"/>
  <c r="AV26" i="1"/>
  <c r="H64" i="1"/>
  <c r="J74" i="1"/>
  <c r="BC27" i="1"/>
  <c r="C14" i="2"/>
  <c r="BC18" i="1"/>
  <c r="AV18" i="1"/>
  <c r="AV65" i="1"/>
  <c r="BC65" i="1"/>
  <c r="I28" i="2"/>
  <c r="I29" i="2" s="1"/>
  <c r="BC70" i="1"/>
  <c r="AV70" i="1"/>
  <c r="AV35" i="1"/>
  <c r="BC35" i="1"/>
  <c r="BC47" i="1"/>
  <c r="BC41" i="1"/>
  <c r="AV41" i="1"/>
  <c r="BC66" i="1"/>
  <c r="AV66" i="1"/>
  <c r="AV52" i="1"/>
  <c r="AU39" i="1"/>
  <c r="BC48" i="1"/>
  <c r="AV48" i="1"/>
  <c r="BC16" i="1"/>
  <c r="AV16" i="1"/>
  <c r="AV60" i="1"/>
  <c r="BC60" i="1"/>
  <c r="AV69" i="1"/>
  <c r="BC69" i="1"/>
  <c r="BC51" i="1"/>
  <c r="AV51" i="1"/>
  <c r="AV28" i="1"/>
  <c r="BC28" i="1"/>
  <c r="AV20" i="1"/>
  <c r="AV57" i="1"/>
  <c r="BC62" i="1"/>
  <c r="AV62" i="1"/>
  <c r="BC58" i="1"/>
  <c r="AV58" i="1"/>
  <c r="BC42" i="1"/>
  <c r="AV42" i="1"/>
  <c r="BC40" i="1"/>
  <c r="C15" i="2"/>
  <c r="AV53" i="1"/>
  <c r="BC53" i="1"/>
  <c r="J63" i="1"/>
  <c r="AV73" i="1"/>
  <c r="BC73" i="1"/>
  <c r="AV21" i="1"/>
  <c r="BC21" i="1"/>
  <c r="C22" i="2" l="1"/>
</calcChain>
</file>

<file path=xl/sharedStrings.xml><?xml version="1.0" encoding="utf-8"?>
<sst xmlns="http://schemas.openxmlformats.org/spreadsheetml/2006/main" count="941" uniqueCount="295">
  <si>
    <t>Slepý stavební rozpočet</t>
  </si>
  <si>
    <t>Název stavby:</t>
  </si>
  <si>
    <t>Doba výstavby:</t>
  </si>
  <si>
    <t>Objednatel:</t>
  </si>
  <si>
    <t> </t>
  </si>
  <si>
    <t>Druh stavby:</t>
  </si>
  <si>
    <t>SO 01 ZPEVNĚNÉ PLOCHY - 1. etapa</t>
  </si>
  <si>
    <t>Začátek výstavby:</t>
  </si>
  <si>
    <t>Projektant:</t>
  </si>
  <si>
    <t>Lokalita:</t>
  </si>
  <si>
    <t>K.Ú. Šlapanice</t>
  </si>
  <si>
    <t>Konec výstavby:</t>
  </si>
  <si>
    <t>Zhotovitel:</t>
  </si>
  <si>
    <t>JKSO:</t>
  </si>
  <si>
    <t>8225922</t>
  </si>
  <si>
    <t>Zpracováno dne:</t>
  </si>
  <si>
    <t>Zpracoval: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</si>
  <si>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</si>
  <si>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</si>
  <si>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</si>
  <si>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</si>
  <si>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</si>
  <si>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</si>
  <si>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</si>
  <si>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</si>
  <si>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</si>
  <si>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</si>
  <si>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</si>
  <si>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 xml:space="preserve"> </t>
  </si>
  <si>
    <t>Rozměry</t>
  </si>
  <si>
    <t>(Kč)</t>
  </si>
  <si>
    <t>Dodávka</t>
  </si>
  <si>
    <t>Montáž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</si>
  <si>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</si>
  <si>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</si>
  <si>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</si>
  <si>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</si>
  <si>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</si>
  <si>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</si>
  <si>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</si>
  <si>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</si>
  <si>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</si>
  <si>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</si>
  <si>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</si>
  <si>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</si>
  <si>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</si>
  <si>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</si>
  <si>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</si>
  <si>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</si>
  <si>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</si>
  <si>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</si>
  <si>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00003VD</t>
  </si>
  <si>
    <t>Zatěžovací zkouška únosnosti pláně</t>
  </si>
  <si>
    <t>kus</t>
  </si>
  <si>
    <t>0_</t>
  </si>
  <si>
    <t>_</t>
  </si>
  <si>
    <t>P</t>
  </si>
  <si>
    <t>11</t>
  </si>
  <si>
    <t>Přípravné a přidružené práce</t>
  </si>
  <si>
    <t>2</t>
  </si>
  <si>
    <t>113107510R00</t>
  </si>
  <si>
    <t>Odstranění podkladu pl. 50 m2 (jednotlivě),kam.drcené tl.10 cm</t>
  </si>
  <si>
    <t>m2</t>
  </si>
  <si>
    <t>RTS II / 2025</t>
  </si>
  <si>
    <t>11_</t>
  </si>
  <si>
    <t>3</t>
  </si>
  <si>
    <t>113201111R00</t>
  </si>
  <si>
    <t>Vytrhání obrubníků chodníkových a parkových</t>
  </si>
  <si>
    <t>m</t>
  </si>
  <si>
    <t>12</t>
  </si>
  <si>
    <t>Odkopávky a prokopávky</t>
  </si>
  <si>
    <t>4</t>
  </si>
  <si>
    <t>121101101R00</t>
  </si>
  <si>
    <t>Sejmutí ornice (humózní zeminy) s přemístěním do 50 m</t>
  </si>
  <si>
    <t>m3</t>
  </si>
  <si>
    <t>12_</t>
  </si>
  <si>
    <t>5</t>
  </si>
  <si>
    <t>122202201R00</t>
  </si>
  <si>
    <t>Odkopávky pro silnice v hor. 3 do 100 m3</t>
  </si>
  <si>
    <t>6</t>
  </si>
  <si>
    <t>Odkopávky pro silnice v hor. 3 do 100 m3 - sanace - alternativa</t>
  </si>
  <si>
    <t>7</t>
  </si>
  <si>
    <t>Odkopávky pro silnice v hor. 3 do 100 m3 - výkop pro obruby</t>
  </si>
  <si>
    <t>16</t>
  </si>
  <si>
    <t>Přemístění výkopku</t>
  </si>
  <si>
    <t>8</t>
  </si>
  <si>
    <t>162301101R00</t>
  </si>
  <si>
    <t>Vodorovné přemístění výkopku z hor.1-4 do 500 m - zemní krajnice u obrub</t>
  </si>
  <si>
    <t>16_</t>
  </si>
  <si>
    <t>9</t>
  </si>
  <si>
    <t>167101101R00</t>
  </si>
  <si>
    <t>Nakládání výkopku z hor. 1 ÷ 4 v množství do 100 m3 - zemní krajnice u obrub</t>
  </si>
  <si>
    <t>10</t>
  </si>
  <si>
    <t>162701105R00</t>
  </si>
  <si>
    <t>Vodorovné přemístění výkopku z hor.1-4 do 10000 m - přebytky zeminy - výkopy</t>
  </si>
  <si>
    <t>162701109R00</t>
  </si>
  <si>
    <t>Příplatek k vod. přemístění hor.1-4 za další 1 km (+17 km) - přebytky zeminy - výkopy</t>
  </si>
  <si>
    <t>Vodorovné přemístění výkopku z hor.1-4 do 10000 m - výkopek sanace - alternativa</t>
  </si>
  <si>
    <t>13</t>
  </si>
  <si>
    <t>Příplatek k vod. přemístění hor.1-4 za další 1 km (+17km) - výkopek sanace</t>
  </si>
  <si>
    <t>18</t>
  </si>
  <si>
    <t>Povrchové úpravy terénu</t>
  </si>
  <si>
    <t>14</t>
  </si>
  <si>
    <t>182001111R00</t>
  </si>
  <si>
    <t>Plošná úprava terénu, nerovnosti do 10 cm v rovině - sadová úprava</t>
  </si>
  <si>
    <t>18_</t>
  </si>
  <si>
    <t>15</t>
  </si>
  <si>
    <t>181101102R00</t>
  </si>
  <si>
    <t>Úprava pláně v zářezech v hor. 1-4, se zhutněním - chodníky</t>
  </si>
  <si>
    <t>181301101R00</t>
  </si>
  <si>
    <t>Rozprostření ornice, rovina, tl. do 10 cm do 500m2</t>
  </si>
  <si>
    <t>17</t>
  </si>
  <si>
    <t>180402111R00</t>
  </si>
  <si>
    <t>Založení trávníku parkového výsevem v rovině - sadová úprava</t>
  </si>
  <si>
    <t>00572400</t>
  </si>
  <si>
    <t>Směs travní parková I. běžná zátěž PROFI</t>
  </si>
  <si>
    <t>kg</t>
  </si>
  <si>
    <t>M</t>
  </si>
  <si>
    <t>19</t>
  </si>
  <si>
    <t>184801121R00</t>
  </si>
  <si>
    <t>Arboristické ošetřování dřevin soliterních, kořeny ve výkopu</t>
  </si>
  <si>
    <t>Hloubení pro podzemní stěny, ražení a hloubení důlní</t>
  </si>
  <si>
    <t>20</t>
  </si>
  <si>
    <t>199000002R00</t>
  </si>
  <si>
    <t>Poplatek za skládku horniny 1- 4, č. dle katal. odpadů 17 05 04 - zeminy</t>
  </si>
  <si>
    <t>19_</t>
  </si>
  <si>
    <t>21</t>
  </si>
  <si>
    <t>Poplatek za skládku horniny 1- 4, č. dle katal. odpadů 17 05 04 - výkopek sanace - alternativa</t>
  </si>
  <si>
    <t>56</t>
  </si>
  <si>
    <t>Podkladní vrstvy komunikací, letišť a ploch</t>
  </si>
  <si>
    <t>22</t>
  </si>
  <si>
    <t>569903311R00</t>
  </si>
  <si>
    <t>Zřízení zemních krajnic se zhutněním - okolo obrub</t>
  </si>
  <si>
    <t>56_</t>
  </si>
  <si>
    <t>23</t>
  </si>
  <si>
    <t>564861111RT2</t>
  </si>
  <si>
    <t>Podklad ze štěrkodrti po zhutnění tloušťky 20 cm - chodníky</t>
  </si>
  <si>
    <t>24</t>
  </si>
  <si>
    <t>564831111RT4</t>
  </si>
  <si>
    <t>Podklad ze štěrkodrti po zhutnění tloušťky 10 cm - sanace - alternativa</t>
  </si>
  <si>
    <t>25</t>
  </si>
  <si>
    <t>568111112R00</t>
  </si>
  <si>
    <t>Zřízení vrstvy z geotextilie skl.do 1:5,š.do 7,5 m</t>
  </si>
  <si>
    <t>26</t>
  </si>
  <si>
    <t>69366055</t>
  </si>
  <si>
    <t>Geotextilie netkaná 300 g/m2 - chodník</t>
  </si>
  <si>
    <t>27</t>
  </si>
  <si>
    <t>564811111R00</t>
  </si>
  <si>
    <t>Podklad ze štěrkodrti po zhutnění tloušťky 5 cm - podsyp pod lože obrub</t>
  </si>
  <si>
    <t>59</t>
  </si>
  <si>
    <t>Dlažby pozemních komunikací a ploch</t>
  </si>
  <si>
    <t>28</t>
  </si>
  <si>
    <t>591211211R00</t>
  </si>
  <si>
    <t>Kladení dlažby drobné kostky, lože z drti tl. 4 cm</t>
  </si>
  <si>
    <t>59_</t>
  </si>
  <si>
    <t>29</t>
  </si>
  <si>
    <t>58380120.A</t>
  </si>
  <si>
    <t>Kostka dlažební žulová štípaná + odseky, barva mix, drobná 80 až 100 mm, třída I</t>
  </si>
  <si>
    <t>91</t>
  </si>
  <si>
    <t>Doplňující konstrukce a práce pozemních komunikací, letišť a ploch</t>
  </si>
  <si>
    <t>30</t>
  </si>
  <si>
    <t>916561111R00</t>
  </si>
  <si>
    <t>Osazení záhon.obrubníků do lože z B 12,5 s opěrou</t>
  </si>
  <si>
    <t>91_</t>
  </si>
  <si>
    <t>31</t>
  </si>
  <si>
    <t>59217410</t>
  </si>
  <si>
    <t>Obrubník chodníkový ABO 100/10/25 II nat</t>
  </si>
  <si>
    <t>32</t>
  </si>
  <si>
    <t>917111111R00</t>
  </si>
  <si>
    <t>Dodávka a osazení ocel. obrubníku zatlučením (pozink)</t>
  </si>
  <si>
    <t>33</t>
  </si>
  <si>
    <t>13323009</t>
  </si>
  <si>
    <t>Tyč ocelová plochá S235J2, rozměr 100 x 8 mm</t>
  </si>
  <si>
    <t>t</t>
  </si>
  <si>
    <t>34</t>
  </si>
  <si>
    <t>13211258</t>
  </si>
  <si>
    <t>Tyč ocelová kruhová S235JR, průměr 16 mm</t>
  </si>
  <si>
    <t>S</t>
  </si>
  <si>
    <t>Přesuny sutí</t>
  </si>
  <si>
    <t>35</t>
  </si>
  <si>
    <t>979083117R00</t>
  </si>
  <si>
    <t>Vodorovné přemístění suti na skládku do 6000 m - drc. kamenivo</t>
  </si>
  <si>
    <t>S_</t>
  </si>
  <si>
    <t>36</t>
  </si>
  <si>
    <t>979083191R00</t>
  </si>
  <si>
    <t>Příplatek za dalších započatých 1000 m nad 6000 m - drc. kamenivo, (+21 km)</t>
  </si>
  <si>
    <t>37</t>
  </si>
  <si>
    <t>979999975R00</t>
  </si>
  <si>
    <t>Poplatek za uložení, kamení s příměsí, (skup.170504), drc. kamenivo</t>
  </si>
  <si>
    <t>38</t>
  </si>
  <si>
    <t>Vodorovné přemístění suti na skládku do 6000 m - obruby</t>
  </si>
  <si>
    <t>39</t>
  </si>
  <si>
    <t>Příplatek za dalších započatých 1000 m nad 6000 m (+21 km) - obruby</t>
  </si>
  <si>
    <t>40</t>
  </si>
  <si>
    <t>Poplatek za uložení, zemina a kamení s příměsí 10 % (cihla, beton), (skup.170504) - obruby</t>
  </si>
  <si>
    <t>41</t>
  </si>
  <si>
    <t>998223011R00</t>
  </si>
  <si>
    <t>Přesun hmot, pozemní komunikace, kryt dlážděný</t>
  </si>
  <si>
    <t>VORN</t>
  </si>
  <si>
    <t>Vedlejší a ostatní rozpočtové náklady</t>
  </si>
  <si>
    <t>01VRN</t>
  </si>
  <si>
    <t>Průzkumy, geodetické a projektové práce</t>
  </si>
  <si>
    <t>42</t>
  </si>
  <si>
    <t>012002VRN</t>
  </si>
  <si>
    <t>Geodetické práce - vytýčení</t>
  </si>
  <si>
    <t>Soubor</t>
  </si>
  <si>
    <t>99</t>
  </si>
  <si>
    <t>01VRN_</t>
  </si>
  <si>
    <t>43</t>
  </si>
  <si>
    <t>011002VRN</t>
  </si>
  <si>
    <t>Průzkumy - stávající inženýrské sítě</t>
  </si>
  <si>
    <t>Projektové práce - dokumentace skutečného provedení</t>
  </si>
  <si>
    <t>03VRN</t>
  </si>
  <si>
    <t>Zařízení staveniště</t>
  </si>
  <si>
    <t>45</t>
  </si>
  <si>
    <t>030001VRN</t>
  </si>
  <si>
    <t>03VRN_</t>
  </si>
  <si>
    <t>46</t>
  </si>
  <si>
    <t>034002VRN</t>
  </si>
  <si>
    <t>Zabezpečení staveniště - oplocení</t>
  </si>
  <si>
    <t>47</t>
  </si>
  <si>
    <t>039002VRN</t>
  </si>
  <si>
    <t>Odstranění zařízení staveniště</t>
  </si>
  <si>
    <t>07VRN</t>
  </si>
  <si>
    <t>Provozní vlivy</t>
  </si>
  <si>
    <t>48</t>
  </si>
  <si>
    <t>073002VRN</t>
  </si>
  <si>
    <t>Ztížení prací v prostoru hřbitova</t>
  </si>
  <si>
    <t>07VRN_</t>
  </si>
  <si>
    <t>Celkem:</t>
  </si>
  <si>
    <t>Poznámka:</t>
  </si>
  <si>
    <t>Krycí list slepého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</si>
  <si>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</si>
  <si>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</si>
  <si>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</si>
  <si>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</si>
  <si>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</si>
  <si>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</si>
  <si>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</si>
  <si>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</si>
  <si>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</si>
  <si>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</si>
  <si>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</si>
  <si>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</si>
  <si>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</si>
  <si>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</si>
  <si>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</si>
  <si>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</si>
  <si>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</si>
  <si>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Územní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</si>
  <si>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</si>
  <si>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</si>
  <si>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</si>
  <si>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</si>
  <si>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</si>
  <si>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</si>
  <si>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</si>
  <si>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</si>
  <si>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</si>
  <si>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</si>
  <si>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</si>
  <si>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</si>
  <si>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</si>
  <si>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</si>
  <si>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</si>
  <si>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</si>
  <si>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</si>
  <si>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</si>
  <si>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</si>
  <si>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</si>
  <si>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</si>
  <si>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</si>
  <si>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</si>
  <si>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</si>
  <si>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</si>
  <si>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</si>
  <si>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</si>
  <si>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</si>
  <si>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</si>
  <si>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</si>
  <si>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</si>
  <si>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</si>
  <si>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</si>
  <si>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Příprava staveniště</t>
  </si>
  <si>
    <t>Inženýrské činnosti</t>
  </si>
  <si>
    <t>Finanční náklady</t>
  </si>
  <si>
    <t>Náklady na pracovníky</t>
  </si>
  <si>
    <t>Ostatní náklady</t>
  </si>
  <si>
    <t>Vlastní VORN</t>
  </si>
  <si>
    <t>Celkem VORN</t>
  </si>
  <si>
    <t xml:space="preserve">Ve všech listech tohoto souboru lze měnit pouze buňky s modrým pozadím. </t>
  </si>
  <si>
    <t>Jedná se o tyto údaje:</t>
  </si>
  <si>
    <t>údaje o firmě</t>
  </si>
  <si>
    <t>jednotkové ceny položek zadané na maximálně 2 desetinná místa</t>
  </si>
  <si>
    <t>HŘBITOV - OPRAVA ZPEVNĚNÝCH PLOCH, ŠLAPANICE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</si>
</sst>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10"/>
      <color rgb="FF000000"/>
      <name val="Arial"/>
      <family val="2"/>
      <charset val="238"/>
    </font>
    <font>
      <i/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3" tint="0.89999084444715716"/>
        <bgColor indexed="64"/>
      </patternFill>
    </fill>
  </fills>
  <borders count="7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57">
    <xf numFmtId="0" fontId="0" fillId="0" borderId="0" xfId="0"/>
    <xf numFmtId="4" fontId="2" fillId="2" borderId="0" xfId="0" applyNumberFormat="1" applyFont="1" applyFill="1" applyBorder="1" applyAlignment="1" applyProtection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left" vertical="center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19" xfId="0" applyNumberFormat="1" applyFont="1" applyFill="1" applyBorder="1" applyAlignment="1" applyProtection="1">
      <alignment horizontal="left" vertical="center"/>
    </xf>
    <xf numFmtId="0" fontId="3" fillId="0" borderId="20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center" vertical="center"/>
    </xf>
    <xf numFmtId="0" fontId="2" fillId="0" borderId="24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2" fillId="0" borderId="27" xfId="0" applyNumberFormat="1" applyFont="1" applyFill="1" applyBorder="1" applyAlignment="1" applyProtection="1">
      <alignment horizontal="center" vertical="center"/>
    </xf>
    <xf numFmtId="0" fontId="3" fillId="2" borderId="28" xfId="0" applyNumberFormat="1" applyFont="1" applyFill="1" applyBorder="1" applyAlignment="1" applyProtection="1">
      <alignment horizontal="left" vertical="center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3" fillId="2" borderId="29" xfId="0" applyNumberFormat="1" applyFont="1" applyFill="1" applyBorder="1" applyAlignment="1" applyProtection="1">
      <alignment horizontal="left" vertical="center"/>
    </xf>
    <xf numFmtId="4" fontId="2" fillId="2" borderId="29" xfId="0" applyNumberFormat="1" applyFont="1" applyFill="1" applyBorder="1" applyAlignment="1" applyProtection="1">
      <alignment horizontal="right" vertical="center"/>
    </xf>
    <xf numFmtId="0" fontId="2" fillId="2" borderId="30" xfId="0" applyNumberFormat="1" applyFont="1" applyFill="1" applyBorder="1" applyAlignment="1" applyProtection="1">
      <alignment horizontal="right"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3" fillId="0" borderId="6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2" fillId="2" borderId="6" xfId="0" applyNumberFormat="1" applyFont="1" applyFill="1" applyBorder="1" applyAlignment="1" applyProtection="1">
      <alignment horizontal="righ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3" fillId="0" borderId="32" xfId="0" applyNumberFormat="1" applyFont="1" applyFill="1" applyBorder="1" applyAlignment="1" applyProtection="1">
      <alignment horizontal="left" vertical="center"/>
    </xf>
    <xf numFmtId="4" fontId="3" fillId="0" borderId="32" xfId="0" applyNumberFormat="1" applyFont="1" applyFill="1" applyBorder="1" applyAlignment="1" applyProtection="1">
      <alignment horizontal="right" vertical="center"/>
    </xf>
    <xf numFmtId="0" fontId="3" fillId="0" borderId="33" xfId="0" applyNumberFormat="1" applyFont="1" applyFill="1" applyBorder="1" applyAlignment="1" applyProtection="1">
      <alignment horizontal="right" vertical="center"/>
    </xf>
    <xf numFmtId="4" fontId="2" fillId="0" borderId="34" xfId="0" applyNumberFormat="1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6" fillId="2" borderId="36" xfId="0" applyNumberFormat="1" applyFont="1" applyFill="1" applyBorder="1" applyAlignment="1" applyProtection="1">
      <alignment horizontal="center" vertical="center"/>
    </xf>
    <xf numFmtId="0" fontId="6" fillId="2" borderId="39" xfId="0" applyNumberFormat="1" applyFont="1" applyFill="1" applyBorder="1" applyAlignment="1" applyProtection="1">
      <alignment horizontal="center" vertical="center"/>
    </xf>
    <xf numFmtId="0" fontId="8" fillId="0" borderId="40" xfId="0" applyNumberFormat="1" applyFont="1" applyFill="1" applyBorder="1" applyAlignment="1" applyProtection="1">
      <alignment horizontal="left" vertical="center"/>
    </xf>
    <xf numFmtId="0" fontId="9" fillId="0" borderId="41" xfId="0" applyNumberFormat="1" applyFont="1" applyFill="1" applyBorder="1" applyAlignment="1" applyProtection="1">
      <alignment horizontal="left" vertical="center"/>
    </xf>
    <xf numFmtId="4" fontId="9" fillId="0" borderId="41" xfId="0" applyNumberFormat="1" applyFont="1" applyFill="1" applyBorder="1" applyAlignment="1" applyProtection="1">
      <alignment horizontal="right" vertical="center"/>
    </xf>
    <xf numFmtId="0" fontId="9" fillId="0" borderId="41" xfId="0" applyNumberFormat="1" applyFont="1" applyFill="1" applyBorder="1" applyAlignment="1" applyProtection="1">
      <alignment horizontal="right" vertical="center"/>
    </xf>
    <xf numFmtId="0" fontId="8" fillId="0" borderId="44" xfId="0" applyNumberFormat="1" applyFont="1" applyFill="1" applyBorder="1" applyAlignment="1" applyProtection="1">
      <alignment horizontal="left" vertical="center"/>
    </xf>
    <xf numFmtId="4" fontId="9" fillId="0" borderId="48" xfId="0" applyNumberFormat="1" applyFont="1" applyFill="1" applyBorder="1" applyAlignment="1" applyProtection="1">
      <alignment horizontal="right" vertical="center"/>
    </xf>
    <xf numFmtId="0" fontId="9" fillId="0" borderId="48" xfId="0" applyNumberFormat="1" applyFont="1" applyFill="1" applyBorder="1" applyAlignment="1" applyProtection="1">
      <alignment horizontal="right" vertical="center"/>
    </xf>
    <xf numFmtId="4" fontId="9" fillId="0" borderId="39" xfId="0" applyNumberFormat="1" applyFont="1" applyFill="1" applyBorder="1" applyAlignment="1" applyProtection="1">
      <alignment horizontal="right" vertical="center"/>
    </xf>
    <xf numFmtId="4" fontId="9" fillId="0" borderId="25" xfId="0" applyNumberFormat="1" applyFont="1" applyFill="1" applyBorder="1" applyAlignment="1" applyProtection="1">
      <alignment horizontal="right" vertical="center"/>
    </xf>
    <xf numFmtId="4" fontId="8" fillId="2" borderId="38" xfId="0" applyNumberFormat="1" applyFont="1" applyFill="1" applyBorder="1" applyAlignment="1" applyProtection="1">
      <alignment horizontal="right" vertical="center"/>
    </xf>
    <xf numFmtId="4" fontId="8" fillId="2" borderId="43" xfId="0" applyNumberFormat="1" applyFont="1" applyFill="1" applyBorder="1" applyAlignment="1" applyProtection="1">
      <alignment horizontal="right" vertical="center"/>
    </xf>
    <xf numFmtId="0" fontId="4" fillId="0" borderId="29" xfId="0" applyNumberFormat="1" applyFont="1" applyFill="1" applyBorder="1" applyAlignment="1" applyProtection="1">
      <alignment horizontal="left" vertical="center"/>
    </xf>
    <xf numFmtId="0" fontId="2" fillId="0" borderId="64" xfId="0" applyNumberFormat="1" applyFont="1" applyFill="1" applyBorder="1" applyAlignment="1" applyProtection="1">
      <alignment horizontal="right" vertical="center"/>
    </xf>
    <xf numFmtId="4" fontId="3" fillId="0" borderId="41" xfId="0" applyNumberFormat="1" applyFont="1" applyFill="1" applyBorder="1" applyAlignment="1" applyProtection="1">
      <alignment horizontal="right" vertical="center"/>
    </xf>
    <xf numFmtId="0" fontId="3" fillId="0" borderId="41" xfId="0" applyNumberFormat="1" applyFont="1" applyFill="1" applyBorder="1" applyAlignment="1" applyProtection="1">
      <alignment horizontal="left" vertical="center"/>
    </xf>
    <xf numFmtId="4" fontId="3" fillId="0" borderId="68" xfId="0" applyNumberFormat="1" applyFont="1" applyFill="1" applyBorder="1" applyAlignment="1" applyProtection="1">
      <alignment horizontal="right" vertical="center"/>
    </xf>
    <xf numFmtId="0" fontId="3" fillId="0" borderId="68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left" vertical="center"/>
    </xf>
    <xf numFmtId="0" fontId="2" fillId="0" borderId="72" xfId="0" applyNumberFormat="1" applyFont="1" applyFill="1" applyBorder="1" applyAlignment="1" applyProtection="1">
      <alignment horizontal="right" vertical="center"/>
    </xf>
    <xf numFmtId="4" fontId="2" fillId="0" borderId="72" xfId="0" applyNumberFormat="1" applyFont="1" applyFill="1" applyBorder="1" applyAlignment="1" applyProtection="1">
      <alignment horizontal="right" vertical="center"/>
    </xf>
    <xf numFmtId="0" fontId="11" fillId="0" borderId="0" xfId="0" applyFont="1"/>
    <xf numFmtId="4" fontId="3" fillId="3" borderId="0" xfId="0" applyNumberFormat="1" applyFont="1" applyFill="1" applyBorder="1" applyAlignment="1" applyProtection="1">
      <alignment horizontal="right" vertical="center"/>
    </xf>
    <xf numFmtId="4" fontId="3" fillId="3" borderId="32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7" xfId="0" applyNumberFormat="1" applyFont="1" applyFill="1" applyBorder="1" applyAlignment="1" applyProtection="1">
      <alignment horizontal="left" vertical="center"/>
    </xf>
    <xf numFmtId="0" fontId="3" fillId="0" borderId="8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12" fillId="0" borderId="3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6" xfId="0" applyNumberFormat="1" applyFont="1" applyFill="1" applyBorder="1" applyAlignment="1" applyProtection="1">
      <alignment horizontal="left" vertical="center"/>
    </xf>
    <xf numFmtId="0" fontId="3" fillId="3" borderId="0" xfId="0" applyNumberFormat="1" applyFont="1" applyFill="1" applyBorder="1" applyAlignment="1" applyProtection="1">
      <alignment horizontal="left" vertical="center"/>
    </xf>
    <xf numFmtId="0" fontId="3" fillId="3" borderId="6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2" fillId="2" borderId="29" xfId="0" applyNumberFormat="1" applyFont="1" applyFill="1" applyBorder="1" applyAlignment="1" applyProtection="1">
      <alignment horizontal="left" vertical="center" wrapText="1"/>
    </xf>
    <xf numFmtId="0" fontId="2" fillId="2" borderId="29" xfId="0" applyNumberFormat="1" applyFont="1" applyFill="1" applyBorder="1" applyAlignment="1" applyProtection="1">
      <alignment horizontal="left" vertical="center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3" fillId="0" borderId="32" xfId="0" applyNumberFormat="1" applyFont="1" applyFill="1" applyBorder="1" applyAlignment="1" applyProtection="1">
      <alignment horizontal="left" vertical="center" wrapText="1"/>
    </xf>
    <xf numFmtId="0" fontId="3" fillId="0" borderId="32" xfId="0" applyNumberFormat="1" applyFont="1" applyFill="1" applyBorder="1" applyAlignment="1" applyProtection="1">
      <alignment horizontal="left" vertical="center"/>
    </xf>
    <xf numFmtId="0" fontId="2" fillId="0" borderId="34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left" vertical="center" wrapText="1"/>
    </xf>
    <xf numFmtId="1" fontId="3" fillId="0" borderId="6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33" xfId="0" applyNumberFormat="1" applyFont="1" applyFill="1" applyBorder="1" applyAlignment="1" applyProtection="1">
      <alignment horizontal="left" vertical="center"/>
    </xf>
    <xf numFmtId="0" fontId="5" fillId="0" borderId="35" xfId="0" applyNumberFormat="1" applyFont="1" applyFill="1" applyBorder="1" applyAlignment="1" applyProtection="1">
      <alignment horizontal="center" vertical="center"/>
    </xf>
    <xf numFmtId="0" fontId="7" fillId="0" borderId="37" xfId="0" applyNumberFormat="1" applyFont="1" applyFill="1" applyBorder="1" applyAlignment="1" applyProtection="1">
      <alignment horizontal="left" vertical="center"/>
    </xf>
    <xf numFmtId="0" fontId="7" fillId="0" borderId="38" xfId="0" applyNumberFormat="1" applyFont="1" applyFill="1" applyBorder="1" applyAlignment="1" applyProtection="1">
      <alignment horizontal="left" vertical="center"/>
    </xf>
    <xf numFmtId="0" fontId="3" fillId="3" borderId="32" xfId="0" applyNumberFormat="1" applyFont="1" applyFill="1" applyBorder="1" applyAlignment="1" applyProtection="1">
      <alignment horizontal="left" vertical="center"/>
    </xf>
    <xf numFmtId="0" fontId="3" fillId="0" borderId="31" xfId="0" applyNumberFormat="1" applyFont="1" applyFill="1" applyBorder="1" applyAlignment="1" applyProtection="1">
      <alignment horizontal="left" vertical="center"/>
    </xf>
    <xf numFmtId="0" fontId="8" fillId="0" borderId="45" xfId="0" applyNumberFormat="1" applyFont="1" applyFill="1" applyBorder="1" applyAlignment="1" applyProtection="1">
      <alignment horizontal="left" vertical="center"/>
    </xf>
    <xf numFmtId="0" fontId="8" fillId="0" borderId="43" xfId="0" applyNumberFormat="1" applyFont="1" applyFill="1" applyBorder="1" applyAlignment="1" applyProtection="1">
      <alignment horizontal="left" vertical="center"/>
    </xf>
    <xf numFmtId="0" fontId="8" fillId="0" borderId="46" xfId="0" applyNumberFormat="1" applyFont="1" applyFill="1" applyBorder="1" applyAlignment="1" applyProtection="1">
      <alignment horizontal="left" vertical="center"/>
    </xf>
    <xf numFmtId="0" fontId="8" fillId="0" borderId="47" xfId="0" applyNumberFormat="1" applyFont="1" applyFill="1" applyBorder="1" applyAlignment="1" applyProtection="1">
      <alignment horizontal="left" vertical="center"/>
    </xf>
    <xf numFmtId="0" fontId="8" fillId="0" borderId="50" xfId="0" applyNumberFormat="1" applyFont="1" applyFill="1" applyBorder="1" applyAlignment="1" applyProtection="1">
      <alignment horizontal="left" vertical="center"/>
    </xf>
    <xf numFmtId="0" fontId="8" fillId="0" borderId="38" xfId="0" applyNumberFormat="1" applyFont="1" applyFill="1" applyBorder="1" applyAlignment="1" applyProtection="1">
      <alignment horizontal="left" vertical="center"/>
    </xf>
    <xf numFmtId="0" fontId="9" fillId="0" borderId="42" xfId="0" applyNumberFormat="1" applyFont="1" applyFill="1" applyBorder="1" applyAlignment="1" applyProtection="1">
      <alignment horizontal="left" vertical="center"/>
    </xf>
    <xf numFmtId="0" fontId="9" fillId="0" borderId="43" xfId="0" applyNumberFormat="1" applyFont="1" applyFill="1" applyBorder="1" applyAlignment="1" applyProtection="1">
      <alignment horizontal="left" vertical="center"/>
    </xf>
    <xf numFmtId="0" fontId="9" fillId="0" borderId="49" xfId="0" applyNumberFormat="1" applyFont="1" applyFill="1" applyBorder="1" applyAlignment="1" applyProtection="1">
      <alignment horizontal="left" vertical="center"/>
    </xf>
    <xf numFmtId="0" fontId="9" fillId="0" borderId="47" xfId="0" applyNumberFormat="1" applyFont="1" applyFill="1" applyBorder="1" applyAlignment="1" applyProtection="1">
      <alignment horizontal="left" vertical="center"/>
    </xf>
    <xf numFmtId="0" fontId="8" fillId="0" borderId="37" xfId="0" applyNumberFormat="1" applyFont="1" applyFill="1" applyBorder="1" applyAlignment="1" applyProtection="1">
      <alignment horizontal="left" vertical="center"/>
    </xf>
    <xf numFmtId="0" fontId="8" fillId="0" borderId="42" xfId="0" applyNumberFormat="1" applyFont="1" applyFill="1" applyBorder="1" applyAlignment="1" applyProtection="1">
      <alignment horizontal="left" vertical="center"/>
    </xf>
    <xf numFmtId="0" fontId="8" fillId="2" borderId="50" xfId="0" applyNumberFormat="1" applyFont="1" applyFill="1" applyBorder="1" applyAlignment="1" applyProtection="1">
      <alignment horizontal="left" vertical="center"/>
    </xf>
    <xf numFmtId="0" fontId="8" fillId="2" borderId="51" xfId="0" applyNumberFormat="1" applyFont="1" applyFill="1" applyBorder="1" applyAlignment="1" applyProtection="1">
      <alignment horizontal="left" vertical="center"/>
    </xf>
    <xf numFmtId="0" fontId="8" fillId="2" borderId="45" xfId="0" applyNumberFormat="1" applyFont="1" applyFill="1" applyBorder="1" applyAlignment="1" applyProtection="1">
      <alignment horizontal="left" vertical="center"/>
    </xf>
    <xf numFmtId="0" fontId="8" fillId="2" borderId="52" xfId="0" applyNumberFormat="1" applyFont="1" applyFill="1" applyBorder="1" applyAlignment="1" applyProtection="1">
      <alignment horizontal="left" vertical="center"/>
    </xf>
    <xf numFmtId="0" fontId="8" fillId="2" borderId="37" xfId="0" applyNumberFormat="1" applyFont="1" applyFill="1" applyBorder="1" applyAlignment="1" applyProtection="1">
      <alignment horizontal="left" vertical="center"/>
    </xf>
    <xf numFmtId="0" fontId="8" fillId="2" borderId="42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9" fillId="0" borderId="56" xfId="0" applyNumberFormat="1" applyFont="1" applyFill="1" applyBorder="1" applyAlignment="1" applyProtection="1">
      <alignment horizontal="left" vertical="center"/>
    </xf>
    <xf numFmtId="0" fontId="9" fillId="0" borderId="54" xfId="0" applyNumberFormat="1" applyFont="1" applyFill="1" applyBorder="1" applyAlignment="1" applyProtection="1">
      <alignment horizontal="left" vertical="center"/>
    </xf>
    <xf numFmtId="0" fontId="9" fillId="0" borderId="55" xfId="0" applyNumberFormat="1" applyFont="1" applyFill="1" applyBorder="1" applyAlignment="1" applyProtection="1">
      <alignment horizontal="left" vertical="center"/>
    </xf>
    <xf numFmtId="0" fontId="9" fillId="0" borderId="59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58" xfId="0" applyNumberFormat="1" applyFont="1" applyFill="1" applyBorder="1" applyAlignment="1" applyProtection="1">
      <alignment horizontal="left" vertical="center"/>
    </xf>
    <xf numFmtId="0" fontId="9" fillId="0" borderId="63" xfId="0" applyNumberFormat="1" applyFont="1" applyFill="1" applyBorder="1" applyAlignment="1" applyProtection="1">
      <alignment horizontal="left" vertical="center"/>
    </xf>
    <xf numFmtId="0" fontId="9" fillId="0" borderId="61" xfId="0" applyNumberFormat="1" applyFont="1" applyFill="1" applyBorder="1" applyAlignment="1" applyProtection="1">
      <alignment horizontal="left" vertical="center"/>
    </xf>
    <xf numFmtId="0" fontId="9" fillId="0" borderId="62" xfId="0" applyNumberFormat="1" applyFont="1" applyFill="1" applyBorder="1" applyAlignment="1" applyProtection="1">
      <alignment horizontal="left" vertical="center"/>
    </xf>
    <xf numFmtId="0" fontId="9" fillId="0" borderId="53" xfId="0" applyNumberFormat="1" applyFont="1" applyFill="1" applyBorder="1" applyAlignment="1" applyProtection="1">
      <alignment horizontal="left" vertical="center"/>
    </xf>
    <xf numFmtId="0" fontId="9" fillId="0" borderId="57" xfId="0" applyNumberFormat="1" applyFont="1" applyFill="1" applyBorder="1" applyAlignment="1" applyProtection="1">
      <alignment horizontal="left" vertical="center"/>
    </xf>
    <xf numFmtId="0" fontId="9" fillId="0" borderId="60" xfId="0" applyNumberFormat="1" applyFont="1" applyFill="1" applyBorder="1" applyAlignment="1" applyProtection="1">
      <alignment horizontal="left" vertical="center"/>
    </xf>
    <xf numFmtId="0" fontId="8" fillId="0" borderId="8" xfId="0" applyNumberFormat="1" applyFont="1" applyFill="1" applyBorder="1" applyAlignment="1" applyProtection="1">
      <alignment horizontal="left" vertical="center"/>
    </xf>
    <xf numFmtId="0" fontId="2" fillId="0" borderId="15" xfId="0" applyNumberFormat="1" applyFont="1" applyFill="1" applyBorder="1" applyAlignment="1" applyProtection="1">
      <alignment horizontal="left" vertical="center"/>
    </xf>
    <xf numFmtId="0" fontId="2" fillId="0" borderId="16" xfId="0" applyNumberFormat="1" applyFont="1" applyFill="1" applyBorder="1" applyAlignment="1" applyProtection="1">
      <alignment horizontal="left"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3" fillId="0" borderId="45" xfId="0" applyNumberFormat="1" applyFont="1" applyFill="1" applyBorder="1" applyAlignment="1" applyProtection="1">
      <alignment horizontal="left" vertical="center"/>
    </xf>
    <xf numFmtId="0" fontId="3" fillId="0" borderId="52" xfId="0" applyNumberFormat="1" applyFont="1" applyFill="1" applyBorder="1" applyAlignment="1" applyProtection="1">
      <alignment horizontal="left" vertical="center"/>
    </xf>
    <xf numFmtId="0" fontId="3" fillId="0" borderId="43" xfId="0" applyNumberFormat="1" applyFont="1" applyFill="1" applyBorder="1" applyAlignment="1" applyProtection="1">
      <alignment horizontal="left" vertical="center"/>
    </xf>
    <xf numFmtId="0" fontId="3" fillId="0" borderId="65" xfId="0" applyNumberFormat="1" applyFont="1" applyFill="1" applyBorder="1" applyAlignment="1" applyProtection="1">
      <alignment horizontal="left" vertical="center"/>
    </xf>
    <xf numFmtId="0" fontId="3" fillId="0" borderId="66" xfId="0" applyNumberFormat="1" applyFont="1" applyFill="1" applyBorder="1" applyAlignment="1" applyProtection="1">
      <alignment horizontal="left" vertical="center"/>
    </xf>
    <xf numFmtId="0" fontId="3" fillId="0" borderId="67" xfId="0" applyNumberFormat="1" applyFont="1" applyFill="1" applyBorder="1" applyAlignment="1" applyProtection="1">
      <alignment horizontal="left" vertical="center"/>
    </xf>
    <xf numFmtId="0" fontId="2" fillId="0" borderId="69" xfId="0" applyNumberFormat="1" applyFont="1" applyFill="1" applyBorder="1" applyAlignment="1" applyProtection="1">
      <alignment horizontal="left" vertical="center"/>
    </xf>
    <xf numFmtId="0" fontId="2" fillId="0" borderId="70" xfId="0" applyNumberFormat="1" applyFont="1" applyFill="1" applyBorder="1" applyAlignment="1" applyProtection="1">
      <alignment horizontal="left" vertical="center"/>
    </xf>
    <xf numFmtId="0" fontId="2" fillId="0" borderId="71" xfId="0" applyNumberFormat="1" applyFont="1" applyFill="1" applyBorder="1" applyAlignment="1" applyProtection="1">
      <alignment horizontal="left" vertical="center"/>
    </xf>
    <xf numFmtId="0" fontId="8" fillId="0" borderId="69" xfId="0" applyNumberFormat="1" applyFont="1" applyFill="1" applyBorder="1" applyAlignment="1" applyProtection="1">
      <alignment horizontal="left" vertical="center"/>
    </xf>
    <xf numFmtId="0" fontId="8" fillId="0" borderId="70" xfId="0" applyNumberFormat="1" applyFont="1" applyFill="1" applyBorder="1" applyAlignment="1" applyProtection="1">
      <alignment horizontal="left" vertical="center"/>
    </xf>
    <xf numFmtId="0" fontId="8" fillId="0" borderId="71" xfId="0" applyNumberFormat="1" applyFont="1" applyFill="1" applyBorder="1" applyAlignment="1" applyProtection="1">
      <alignment horizontal="left" vertical="center"/>
    </xf>
    <xf numFmtId="4" fontId="8" fillId="0" borderId="73" xfId="0" applyNumberFormat="1" applyFont="1" applyFill="1" applyBorder="1" applyAlignment="1" applyProtection="1">
      <alignment horizontal="right" vertical="center"/>
    </xf>
    <xf numFmtId="0" fontId="8" fillId="0" borderId="70" xfId="0" applyNumberFormat="1" applyFont="1" applyFill="1" applyBorder="1" applyAlignment="1" applyProtection="1">
      <alignment horizontal="right" vertical="center"/>
    </xf>
    <xf numFmtId="0" fontId="8" fillId="0" borderId="71" xfId="0" applyNumberFormat="1" applyFont="1" applyFill="1" applyBorder="1" applyAlignment="1" applyProtection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76"/>
  <sheetViews>
    <sheetView tabSelected="1" workbookViewId="0">
      <pane ySplit="11" topLeftCell="A59" activePane="bottomLeft" state="frozen"/>
      <selection pane="bottomLeft" activeCell="G78" sqref="G78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28.5703125" customWidth="1"/>
    <col min="4" max="4" width="35.7109375" customWidth="1"/>
    <col min="5" max="5" width="6.710937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64.28515625" hidden="1" customWidth="1"/>
    <col min="77" max="78" width="12.140625" hidden="1"/>
  </cols>
  <sheetData>
    <row r="1" spans="1:76" ht="54.75" customHeight="1" x14ac:dyDescent="0.2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6" x14ac:dyDescent="0.25">
      <c r="A2" s="63" t="s">
        <v>1</v>
      </c>
      <c r="B2" s="64"/>
      <c r="C2" s="72" t="s">
        <v>294</v>
      </c>
      <c r="D2" s="73"/>
      <c r="E2" s="64" t="s">
        <v>2</v>
      </c>
      <c r="F2" s="64"/>
      <c r="G2" s="64"/>
      <c r="H2" s="70" t="s">
        <v>3</v>
      </c>
      <c r="I2" s="64" t="s">
        <v>4</v>
      </c>
      <c r="J2" s="64"/>
      <c r="K2" s="75"/>
    </row>
    <row r="3" spans="1:76" x14ac:dyDescent="0.25">
      <c r="A3" s="65"/>
      <c r="B3" s="66"/>
      <c r="C3" s="74"/>
      <c r="D3" s="74"/>
      <c r="E3" s="66"/>
      <c r="F3" s="66"/>
      <c r="G3" s="66"/>
      <c r="H3" s="66"/>
      <c r="I3" s="66"/>
      <c r="J3" s="66"/>
      <c r="K3" s="76"/>
    </row>
    <row r="4" spans="1:76" x14ac:dyDescent="0.25">
      <c r="A4" s="67" t="s">
        <v>5</v>
      </c>
      <c r="B4" s="66"/>
      <c r="C4" s="71" t="s">
        <v>6</v>
      </c>
      <c r="D4" s="66"/>
      <c r="E4" s="66" t="s">
        <v>7</v>
      </c>
      <c r="F4" s="66"/>
      <c r="G4" s="66"/>
      <c r="H4" s="71" t="s">
        <v>8</v>
      </c>
      <c r="I4" s="66" t="s">
        <v>4</v>
      </c>
      <c r="J4" s="66"/>
      <c r="K4" s="76"/>
    </row>
    <row r="5" spans="1:76" x14ac:dyDescent="0.25">
      <c r="A5" s="65"/>
      <c r="B5" s="66"/>
      <c r="C5" s="66"/>
      <c r="D5" s="66"/>
      <c r="E5" s="66"/>
      <c r="F5" s="66"/>
      <c r="G5" s="66"/>
      <c r="H5" s="66"/>
      <c r="I5" s="66"/>
      <c r="J5" s="66"/>
      <c r="K5" s="76"/>
    </row>
    <row r="6" spans="1:76" x14ac:dyDescent="0.25">
      <c r="A6" s="67" t="s">
        <v>9</v>
      </c>
      <c r="B6" s="66"/>
      <c r="C6" s="71" t="s">
        <v>10</v>
      </c>
      <c r="D6" s="66"/>
      <c r="E6" s="66" t="s">
        <v>11</v>
      </c>
      <c r="F6" s="66"/>
      <c r="G6" s="66"/>
      <c r="H6" s="71" t="s">
        <v>12</v>
      </c>
      <c r="I6" s="77" t="s">
        <v>4</v>
      </c>
      <c r="J6" s="77"/>
      <c r="K6" s="78"/>
    </row>
    <row r="7" spans="1:76" x14ac:dyDescent="0.25">
      <c r="A7" s="65"/>
      <c r="B7" s="66"/>
      <c r="C7" s="66"/>
      <c r="D7" s="66"/>
      <c r="E7" s="66"/>
      <c r="F7" s="66"/>
      <c r="G7" s="66"/>
      <c r="H7" s="66"/>
      <c r="I7" s="77"/>
      <c r="J7" s="77"/>
      <c r="K7" s="78"/>
    </row>
    <row r="8" spans="1:76" x14ac:dyDescent="0.25">
      <c r="A8" s="67" t="s">
        <v>13</v>
      </c>
      <c r="B8" s="66"/>
      <c r="C8" s="71" t="s">
        <v>14</v>
      </c>
      <c r="D8" s="66"/>
      <c r="E8" s="66" t="s">
        <v>15</v>
      </c>
      <c r="F8" s="66"/>
      <c r="G8" s="66"/>
      <c r="H8" s="71" t="s">
        <v>16</v>
      </c>
      <c r="I8" s="71"/>
      <c r="J8" s="66"/>
      <c r="K8" s="76"/>
    </row>
    <row r="9" spans="1:76" x14ac:dyDescent="0.25">
      <c r="A9" s="68"/>
      <c r="B9" s="69"/>
      <c r="C9" s="69"/>
      <c r="D9" s="69"/>
      <c r="E9" s="69"/>
      <c r="F9" s="69"/>
      <c r="G9" s="69"/>
      <c r="H9" s="69"/>
      <c r="I9" s="69"/>
      <c r="J9" s="69"/>
      <c r="K9" s="79"/>
    </row>
    <row r="10" spans="1:76" x14ac:dyDescent="0.25">
      <c r="A10" s="5" t="s">
        <v>17</v>
      </c>
      <c r="B10" s="6" t="s">
        <v>18</v>
      </c>
      <c r="C10" s="80" t="s">
        <v>19</v>
      </c>
      <c r="D10" s="81"/>
      <c r="E10" s="6" t="s">
        <v>20</v>
      </c>
      <c r="F10" s="7" t="s">
        <v>21</v>
      </c>
      <c r="G10" s="8" t="s">
        <v>22</v>
      </c>
      <c r="H10" s="84" t="s">
        <v>23</v>
      </c>
      <c r="I10" s="85"/>
      <c r="J10" s="86"/>
      <c r="K10" s="9" t="s">
        <v>24</v>
      </c>
      <c r="BK10" s="10" t="s">
        <v>25</v>
      </c>
      <c r="BL10" s="11" t="s">
        <v>26</v>
      </c>
      <c r="BW10" s="11" t="s">
        <v>27</v>
      </c>
    </row>
    <row r="11" spans="1:76" x14ac:dyDescent="0.25">
      <c r="A11" s="12" t="s">
        <v>28</v>
      </c>
      <c r="B11" s="13" t="s">
        <v>28</v>
      </c>
      <c r="C11" s="82" t="s">
        <v>29</v>
      </c>
      <c r="D11" s="83"/>
      <c r="E11" s="13" t="s">
        <v>28</v>
      </c>
      <c r="F11" s="13" t="s">
        <v>28</v>
      </c>
      <c r="G11" s="14" t="s">
        <v>30</v>
      </c>
      <c r="H11" s="15" t="s">
        <v>31</v>
      </c>
      <c r="I11" s="16" t="s">
        <v>32</v>
      </c>
      <c r="J11" s="17" t="s">
        <v>33</v>
      </c>
      <c r="K11" s="18" t="s">
        <v>34</v>
      </c>
      <c r="Z11" s="10" t="s">
        <v>35</v>
      </c>
      <c r="AA11" s="10" t="s">
        <v>36</v>
      </c>
      <c r="AB11" s="10" t="s">
        <v>37</v>
      </c>
      <c r="AC11" s="10" t="s">
        <v>38</v>
      </c>
      <c r="AD11" s="10" t="s">
        <v>39</v>
      </c>
      <c r="AE11" s="10" t="s">
        <v>40</v>
      </c>
      <c r="AF11" s="10" t="s">
        <v>41</v>
      </c>
      <c r="AG11" s="10" t="s">
        <v>42</v>
      </c>
      <c r="AH11" s="10" t="s">
        <v>43</v>
      </c>
      <c r="BH11" s="10" t="s">
        <v>44</v>
      </c>
      <c r="BI11" s="10" t="s">
        <v>45</v>
      </c>
      <c r="BJ11" s="10" t="s">
        <v>46</v>
      </c>
    </row>
    <row r="12" spans="1:76" x14ac:dyDescent="0.25">
      <c r="A12" s="19" t="s">
        <v>47</v>
      </c>
      <c r="B12" s="20" t="s">
        <v>48</v>
      </c>
      <c r="C12" s="87" t="s">
        <v>49</v>
      </c>
      <c r="D12" s="88"/>
      <c r="E12" s="21" t="s">
        <v>28</v>
      </c>
      <c r="F12" s="21" t="s">
        <v>28</v>
      </c>
      <c r="G12" s="21" t="s">
        <v>28</v>
      </c>
      <c r="H12" s="22">
        <f>ROUND(SUM(H13:H13),2)</f>
        <v>0</v>
      </c>
      <c r="I12" s="22">
        <f>ROUND(SUM(I13:I13),2)</f>
        <v>0</v>
      </c>
      <c r="J12" s="22">
        <f>ROUND(SUM(J13:J13),2)</f>
        <v>0</v>
      </c>
      <c r="K12" s="23" t="s">
        <v>47</v>
      </c>
      <c r="AI12" s="10" t="s">
        <v>47</v>
      </c>
      <c r="AS12" s="1">
        <f>SUM(AJ13:AJ13)</f>
        <v>0</v>
      </c>
      <c r="AT12" s="1">
        <f>SUM(AK13:AK13)</f>
        <v>0</v>
      </c>
      <c r="AU12" s="1">
        <f>SUM(AL13:AL13)</f>
        <v>0</v>
      </c>
    </row>
    <row r="13" spans="1:76" x14ac:dyDescent="0.25">
      <c r="A13" s="2" t="s">
        <v>50</v>
      </c>
      <c r="B13" s="3" t="s">
        <v>51</v>
      </c>
      <c r="C13" s="71" t="s">
        <v>52</v>
      </c>
      <c r="D13" s="66"/>
      <c r="E13" s="3" t="s">
        <v>53</v>
      </c>
      <c r="F13" s="24">
        <v>2</v>
      </c>
      <c r="G13" s="60">
        <v>0</v>
      </c>
      <c r="H13" s="24">
        <f>ROUND(F13*AO13,2)</f>
        <v>0</v>
      </c>
      <c r="I13" s="24">
        <f>ROUND(F13*AP13,2)</f>
        <v>0</v>
      </c>
      <c r="J13" s="24">
        <f>ROUND(F13*G13,2)</f>
        <v>0</v>
      </c>
      <c r="K13" s="25" t="s">
        <v>47</v>
      </c>
      <c r="Z13" s="24">
        <f>ROUND(IF(AQ13="5",BJ13,0),2)</f>
        <v>0</v>
      </c>
      <c r="AB13" s="24">
        <f>ROUND(IF(AQ13="1",BH13,0),2)</f>
        <v>0</v>
      </c>
      <c r="AC13" s="24">
        <f>ROUND(IF(AQ13="1",BI13,0),2)</f>
        <v>0</v>
      </c>
      <c r="AD13" s="24">
        <f>ROUND(IF(AQ13="7",BH13,0),2)</f>
        <v>0</v>
      </c>
      <c r="AE13" s="24">
        <f>ROUND(IF(AQ13="7",BI13,0),2)</f>
        <v>0</v>
      </c>
      <c r="AF13" s="24">
        <f>ROUND(IF(AQ13="2",BH13,0),2)</f>
        <v>0</v>
      </c>
      <c r="AG13" s="24">
        <f>ROUND(IF(AQ13="2",BI13,0),2)</f>
        <v>0</v>
      </c>
      <c r="AH13" s="24">
        <f>ROUND(IF(AQ13="0",BJ13,0),2)</f>
        <v>0</v>
      </c>
      <c r="AI13" s="10" t="s">
        <v>47</v>
      </c>
      <c r="AJ13" s="24">
        <f>IF(AN13=0,J13,0)</f>
        <v>0</v>
      </c>
      <c r="AK13" s="24">
        <f>IF(AN13=12,J13,0)</f>
        <v>0</v>
      </c>
      <c r="AL13" s="24">
        <f>IF(AN13=21,J13,0)</f>
        <v>0</v>
      </c>
      <c r="AN13" s="24">
        <v>21</v>
      </c>
      <c r="AO13" s="24">
        <f>G13*1</f>
        <v>0</v>
      </c>
      <c r="AP13" s="24">
        <f>G13*(1-1)</f>
        <v>0</v>
      </c>
      <c r="AQ13" s="26" t="s">
        <v>50</v>
      </c>
      <c r="AV13" s="24">
        <f>ROUND(AW13+AX13,2)</f>
        <v>0</v>
      </c>
      <c r="AW13" s="24">
        <f>ROUND(F13*AO13,2)</f>
        <v>0</v>
      </c>
      <c r="AX13" s="24">
        <f>ROUND(F13*AP13,2)</f>
        <v>0</v>
      </c>
      <c r="AY13" s="26" t="s">
        <v>54</v>
      </c>
      <c r="AZ13" s="26" t="s">
        <v>54</v>
      </c>
      <c r="BA13" s="10" t="s">
        <v>55</v>
      </c>
      <c r="BC13" s="24">
        <f>AW13+AX13</f>
        <v>0</v>
      </c>
      <c r="BD13" s="24">
        <f>G13/(100-BE13)*100</f>
        <v>0</v>
      </c>
      <c r="BE13" s="24">
        <v>0</v>
      </c>
      <c r="BF13" s="24">
        <f>13</f>
        <v>13</v>
      </c>
      <c r="BH13" s="24">
        <f>F13*AO13</f>
        <v>0</v>
      </c>
      <c r="BI13" s="24">
        <f>F13*AP13</f>
        <v>0</v>
      </c>
      <c r="BJ13" s="24">
        <f>F13*G13</f>
        <v>0</v>
      </c>
      <c r="BK13" s="26" t="s">
        <v>56</v>
      </c>
      <c r="BL13" s="24">
        <v>0</v>
      </c>
      <c r="BW13" s="24">
        <v>21</v>
      </c>
      <c r="BX13" s="4" t="s">
        <v>52</v>
      </c>
    </row>
    <row r="14" spans="1:76" x14ac:dyDescent="0.25">
      <c r="A14" s="27" t="s">
        <v>47</v>
      </c>
      <c r="B14" s="28" t="s">
        <v>57</v>
      </c>
      <c r="C14" s="89" t="s">
        <v>58</v>
      </c>
      <c r="D14" s="90"/>
      <c r="E14" s="29" t="s">
        <v>28</v>
      </c>
      <c r="F14" s="29" t="s">
        <v>28</v>
      </c>
      <c r="G14" s="29" t="s">
        <v>28</v>
      </c>
      <c r="H14" s="1">
        <f>ROUND(SUM(H15:H16),2)</f>
        <v>0</v>
      </c>
      <c r="I14" s="1">
        <f>ROUND(SUM(I15:I16),2)</f>
        <v>0</v>
      </c>
      <c r="J14" s="1">
        <f>ROUND(SUM(J15:J16),2)</f>
        <v>0</v>
      </c>
      <c r="K14" s="30" t="s">
        <v>47</v>
      </c>
      <c r="AI14" s="10" t="s">
        <v>47</v>
      </c>
      <c r="AS14" s="1">
        <f>SUM(AJ15:AJ16)</f>
        <v>0</v>
      </c>
      <c r="AT14" s="1">
        <f>SUM(AK15:AK16)</f>
        <v>0</v>
      </c>
      <c r="AU14" s="1">
        <f>SUM(AL15:AL16)</f>
        <v>0</v>
      </c>
    </row>
    <row r="15" spans="1:76" x14ac:dyDescent="0.25">
      <c r="A15" s="2" t="s">
        <v>59</v>
      </c>
      <c r="B15" s="3" t="s">
        <v>60</v>
      </c>
      <c r="C15" s="71" t="s">
        <v>61</v>
      </c>
      <c r="D15" s="66"/>
      <c r="E15" s="3" t="s">
        <v>62</v>
      </c>
      <c r="F15" s="24">
        <v>211.8</v>
      </c>
      <c r="G15" s="60">
        <v>0</v>
      </c>
      <c r="H15" s="24">
        <f>ROUND(F15*AO15,2)</f>
        <v>0</v>
      </c>
      <c r="I15" s="24">
        <f>ROUND(F15*AP15,2)</f>
        <v>0</v>
      </c>
      <c r="J15" s="24">
        <f>ROUND(F15*G15,2)</f>
        <v>0</v>
      </c>
      <c r="K15" s="25" t="s">
        <v>63</v>
      </c>
      <c r="Z15" s="24">
        <f>ROUND(IF(AQ15="5",BJ15,0),2)</f>
        <v>0</v>
      </c>
      <c r="AB15" s="24">
        <f>ROUND(IF(AQ15="1",BH15,0),2)</f>
        <v>0</v>
      </c>
      <c r="AC15" s="24">
        <f>ROUND(IF(AQ15="1",BI15,0),2)</f>
        <v>0</v>
      </c>
      <c r="AD15" s="24">
        <f>ROUND(IF(AQ15="7",BH15,0),2)</f>
        <v>0</v>
      </c>
      <c r="AE15" s="24">
        <f>ROUND(IF(AQ15="7",BI15,0),2)</f>
        <v>0</v>
      </c>
      <c r="AF15" s="24">
        <f>ROUND(IF(AQ15="2",BH15,0),2)</f>
        <v>0</v>
      </c>
      <c r="AG15" s="24">
        <f>ROUND(IF(AQ15="2",BI15,0),2)</f>
        <v>0</v>
      </c>
      <c r="AH15" s="24">
        <f>ROUND(IF(AQ15="0",BJ15,0),2)</f>
        <v>0</v>
      </c>
      <c r="AI15" s="10" t="s">
        <v>47</v>
      </c>
      <c r="AJ15" s="24">
        <f>IF(AN15=0,J15,0)</f>
        <v>0</v>
      </c>
      <c r="AK15" s="24">
        <f>IF(AN15=12,J15,0)</f>
        <v>0</v>
      </c>
      <c r="AL15" s="24">
        <f>IF(AN15=21,J15,0)</f>
        <v>0</v>
      </c>
      <c r="AN15" s="24">
        <v>21</v>
      </c>
      <c r="AO15" s="24">
        <f>G15*0</f>
        <v>0</v>
      </c>
      <c r="AP15" s="24">
        <f>G15*(1-0)</f>
        <v>0</v>
      </c>
      <c r="AQ15" s="26" t="s">
        <v>50</v>
      </c>
      <c r="AV15" s="24">
        <f>ROUND(AW15+AX15,2)</f>
        <v>0</v>
      </c>
      <c r="AW15" s="24">
        <f>ROUND(F15*AO15,2)</f>
        <v>0</v>
      </c>
      <c r="AX15" s="24">
        <f>ROUND(F15*AP15,2)</f>
        <v>0</v>
      </c>
      <c r="AY15" s="26" t="s">
        <v>64</v>
      </c>
      <c r="AZ15" s="26" t="s">
        <v>64</v>
      </c>
      <c r="BA15" s="10" t="s">
        <v>55</v>
      </c>
      <c r="BC15" s="24">
        <f>AW15+AX15</f>
        <v>0</v>
      </c>
      <c r="BD15" s="24">
        <f>G15/(100-BE15)*100</f>
        <v>0</v>
      </c>
      <c r="BE15" s="24">
        <v>0</v>
      </c>
      <c r="BF15" s="24">
        <f>15</f>
        <v>15</v>
      </c>
      <c r="BH15" s="24">
        <f>F15*AO15</f>
        <v>0</v>
      </c>
      <c r="BI15" s="24">
        <f>F15*AP15</f>
        <v>0</v>
      </c>
      <c r="BJ15" s="24">
        <f>F15*G15</f>
        <v>0</v>
      </c>
      <c r="BK15" s="26" t="s">
        <v>56</v>
      </c>
      <c r="BL15" s="24">
        <v>11</v>
      </c>
      <c r="BW15" s="24">
        <v>21</v>
      </c>
      <c r="BX15" s="4" t="s">
        <v>61</v>
      </c>
    </row>
    <row r="16" spans="1:76" x14ac:dyDescent="0.25">
      <c r="A16" s="2" t="s">
        <v>65</v>
      </c>
      <c r="B16" s="3" t="s">
        <v>66</v>
      </c>
      <c r="C16" s="71" t="s">
        <v>67</v>
      </c>
      <c r="D16" s="66"/>
      <c r="E16" s="3" t="s">
        <v>68</v>
      </c>
      <c r="F16" s="24">
        <v>81.900000000000006</v>
      </c>
      <c r="G16" s="60">
        <v>0</v>
      </c>
      <c r="H16" s="24">
        <f>ROUND(F16*AO16,2)</f>
        <v>0</v>
      </c>
      <c r="I16" s="24">
        <f>ROUND(F16*AP16,2)</f>
        <v>0</v>
      </c>
      <c r="J16" s="24">
        <f>ROUND(F16*G16,2)</f>
        <v>0</v>
      </c>
      <c r="K16" s="25" t="s">
        <v>63</v>
      </c>
      <c r="Z16" s="24">
        <f>ROUND(IF(AQ16="5",BJ16,0),2)</f>
        <v>0</v>
      </c>
      <c r="AB16" s="24">
        <f>ROUND(IF(AQ16="1",BH16,0),2)</f>
        <v>0</v>
      </c>
      <c r="AC16" s="24">
        <f>ROUND(IF(AQ16="1",BI16,0),2)</f>
        <v>0</v>
      </c>
      <c r="AD16" s="24">
        <f>ROUND(IF(AQ16="7",BH16,0),2)</f>
        <v>0</v>
      </c>
      <c r="AE16" s="24">
        <f>ROUND(IF(AQ16="7",BI16,0),2)</f>
        <v>0</v>
      </c>
      <c r="AF16" s="24">
        <f>ROUND(IF(AQ16="2",BH16,0),2)</f>
        <v>0</v>
      </c>
      <c r="AG16" s="24">
        <f>ROUND(IF(AQ16="2",BI16,0),2)</f>
        <v>0</v>
      </c>
      <c r="AH16" s="24">
        <f>ROUND(IF(AQ16="0",BJ16,0),2)</f>
        <v>0</v>
      </c>
      <c r="AI16" s="10" t="s">
        <v>47</v>
      </c>
      <c r="AJ16" s="24">
        <f>IF(AN16=0,J16,0)</f>
        <v>0</v>
      </c>
      <c r="AK16" s="24">
        <f>IF(AN16=12,J16,0)</f>
        <v>0</v>
      </c>
      <c r="AL16" s="24">
        <f>IF(AN16=21,J16,0)</f>
        <v>0</v>
      </c>
      <c r="AN16" s="24">
        <v>21</v>
      </c>
      <c r="AO16" s="24">
        <f>G16*0</f>
        <v>0</v>
      </c>
      <c r="AP16" s="24">
        <f>G16*(1-0)</f>
        <v>0</v>
      </c>
      <c r="AQ16" s="26" t="s">
        <v>50</v>
      </c>
      <c r="AV16" s="24">
        <f>ROUND(AW16+AX16,2)</f>
        <v>0</v>
      </c>
      <c r="AW16" s="24">
        <f>ROUND(F16*AO16,2)</f>
        <v>0</v>
      </c>
      <c r="AX16" s="24">
        <f>ROUND(F16*AP16,2)</f>
        <v>0</v>
      </c>
      <c r="AY16" s="26" t="s">
        <v>64</v>
      </c>
      <c r="AZ16" s="26" t="s">
        <v>64</v>
      </c>
      <c r="BA16" s="10" t="s">
        <v>55</v>
      </c>
      <c r="BC16" s="24">
        <f>AW16+AX16</f>
        <v>0</v>
      </c>
      <c r="BD16" s="24">
        <f>G16/(100-BE16)*100</f>
        <v>0</v>
      </c>
      <c r="BE16" s="24">
        <v>0</v>
      </c>
      <c r="BF16" s="24">
        <f>16</f>
        <v>16</v>
      </c>
      <c r="BH16" s="24">
        <f>F16*AO16</f>
        <v>0</v>
      </c>
      <c r="BI16" s="24">
        <f>F16*AP16</f>
        <v>0</v>
      </c>
      <c r="BJ16" s="24">
        <f>F16*G16</f>
        <v>0</v>
      </c>
      <c r="BK16" s="26" t="s">
        <v>56</v>
      </c>
      <c r="BL16" s="24">
        <v>11</v>
      </c>
      <c r="BW16" s="24">
        <v>21</v>
      </c>
      <c r="BX16" s="4" t="s">
        <v>67</v>
      </c>
    </row>
    <row r="17" spans="1:76" x14ac:dyDescent="0.25">
      <c r="A17" s="27" t="s">
        <v>47</v>
      </c>
      <c r="B17" s="28" t="s">
        <v>69</v>
      </c>
      <c r="C17" s="89" t="s">
        <v>70</v>
      </c>
      <c r="D17" s="90"/>
      <c r="E17" s="29" t="s">
        <v>28</v>
      </c>
      <c r="F17" s="29" t="s">
        <v>28</v>
      </c>
      <c r="G17" s="29" t="s">
        <v>28</v>
      </c>
      <c r="H17" s="1">
        <f>ROUND(SUM(H18:H21),2)</f>
        <v>0</v>
      </c>
      <c r="I17" s="1">
        <f>ROUND(SUM(I18:I21),2)</f>
        <v>0</v>
      </c>
      <c r="J17" s="1">
        <f>ROUND(SUM(J18:J21),2)</f>
        <v>0</v>
      </c>
      <c r="K17" s="30" t="s">
        <v>47</v>
      </c>
      <c r="AI17" s="10" t="s">
        <v>47</v>
      </c>
      <c r="AS17" s="1">
        <f>SUM(AJ18:AJ21)</f>
        <v>0</v>
      </c>
      <c r="AT17" s="1">
        <f>SUM(AK18:AK21)</f>
        <v>0</v>
      </c>
      <c r="AU17" s="1">
        <f>SUM(AL18:AL21)</f>
        <v>0</v>
      </c>
    </row>
    <row r="18" spans="1:76" x14ac:dyDescent="0.25">
      <c r="A18" s="2" t="s">
        <v>71</v>
      </c>
      <c r="B18" s="3" t="s">
        <v>72</v>
      </c>
      <c r="C18" s="71" t="s">
        <v>73</v>
      </c>
      <c r="D18" s="66"/>
      <c r="E18" s="3" t="s">
        <v>74</v>
      </c>
      <c r="F18" s="24">
        <v>4.0999999999999996</v>
      </c>
      <c r="G18" s="60">
        <v>0</v>
      </c>
      <c r="H18" s="24">
        <f>ROUND(F18*AO18,2)</f>
        <v>0</v>
      </c>
      <c r="I18" s="24">
        <f>ROUND(F18*AP18,2)</f>
        <v>0</v>
      </c>
      <c r="J18" s="24">
        <f>ROUND(F18*G18,2)</f>
        <v>0</v>
      </c>
      <c r="K18" s="25" t="s">
        <v>63</v>
      </c>
      <c r="Z18" s="24">
        <f>ROUND(IF(AQ18="5",BJ18,0),2)</f>
        <v>0</v>
      </c>
      <c r="AB18" s="24">
        <f>ROUND(IF(AQ18="1",BH18,0),2)</f>
        <v>0</v>
      </c>
      <c r="AC18" s="24">
        <f>ROUND(IF(AQ18="1",BI18,0),2)</f>
        <v>0</v>
      </c>
      <c r="AD18" s="24">
        <f>ROUND(IF(AQ18="7",BH18,0),2)</f>
        <v>0</v>
      </c>
      <c r="AE18" s="24">
        <f>ROUND(IF(AQ18="7",BI18,0),2)</f>
        <v>0</v>
      </c>
      <c r="AF18" s="24">
        <f>ROUND(IF(AQ18="2",BH18,0),2)</f>
        <v>0</v>
      </c>
      <c r="AG18" s="24">
        <f>ROUND(IF(AQ18="2",BI18,0),2)</f>
        <v>0</v>
      </c>
      <c r="AH18" s="24">
        <f>ROUND(IF(AQ18="0",BJ18,0),2)</f>
        <v>0</v>
      </c>
      <c r="AI18" s="10" t="s">
        <v>47</v>
      </c>
      <c r="AJ18" s="24">
        <f>IF(AN18=0,J18,0)</f>
        <v>0</v>
      </c>
      <c r="AK18" s="24">
        <f>IF(AN18=12,J18,0)</f>
        <v>0</v>
      </c>
      <c r="AL18" s="24">
        <f>IF(AN18=21,J18,0)</f>
        <v>0</v>
      </c>
      <c r="AN18" s="24">
        <v>21</v>
      </c>
      <c r="AO18" s="24">
        <f>G18*0</f>
        <v>0</v>
      </c>
      <c r="AP18" s="24">
        <f>G18*(1-0)</f>
        <v>0</v>
      </c>
      <c r="AQ18" s="26" t="s">
        <v>50</v>
      </c>
      <c r="AV18" s="24">
        <f>ROUND(AW18+AX18,2)</f>
        <v>0</v>
      </c>
      <c r="AW18" s="24">
        <f>ROUND(F18*AO18,2)</f>
        <v>0</v>
      </c>
      <c r="AX18" s="24">
        <f>ROUND(F18*AP18,2)</f>
        <v>0</v>
      </c>
      <c r="AY18" s="26" t="s">
        <v>75</v>
      </c>
      <c r="AZ18" s="26" t="s">
        <v>75</v>
      </c>
      <c r="BA18" s="10" t="s">
        <v>55</v>
      </c>
      <c r="BC18" s="24">
        <f>AW18+AX18</f>
        <v>0</v>
      </c>
      <c r="BD18" s="24">
        <f>G18/(100-BE18)*100</f>
        <v>0</v>
      </c>
      <c r="BE18" s="24">
        <v>0</v>
      </c>
      <c r="BF18" s="24">
        <f>18</f>
        <v>18</v>
      </c>
      <c r="BH18" s="24">
        <f>F18*AO18</f>
        <v>0</v>
      </c>
      <c r="BI18" s="24">
        <f>F18*AP18</f>
        <v>0</v>
      </c>
      <c r="BJ18" s="24">
        <f>F18*G18</f>
        <v>0</v>
      </c>
      <c r="BK18" s="26" t="s">
        <v>56</v>
      </c>
      <c r="BL18" s="24">
        <v>12</v>
      </c>
      <c r="BW18" s="24">
        <v>21</v>
      </c>
      <c r="BX18" s="4" t="s">
        <v>73</v>
      </c>
    </row>
    <row r="19" spans="1:76" x14ac:dyDescent="0.25">
      <c r="A19" s="2" t="s">
        <v>76</v>
      </c>
      <c r="B19" s="3" t="s">
        <v>77</v>
      </c>
      <c r="C19" s="71" t="s">
        <v>78</v>
      </c>
      <c r="D19" s="66"/>
      <c r="E19" s="3" t="s">
        <v>74</v>
      </c>
      <c r="F19" s="24">
        <v>42.4</v>
      </c>
      <c r="G19" s="60">
        <v>0</v>
      </c>
      <c r="H19" s="24">
        <f>ROUND(F19*AO19,2)</f>
        <v>0</v>
      </c>
      <c r="I19" s="24">
        <f>ROUND(F19*AP19,2)</f>
        <v>0</v>
      </c>
      <c r="J19" s="24">
        <f>ROUND(F19*G19,2)</f>
        <v>0</v>
      </c>
      <c r="K19" s="25" t="s">
        <v>63</v>
      </c>
      <c r="Z19" s="24">
        <f>ROUND(IF(AQ19="5",BJ19,0),2)</f>
        <v>0</v>
      </c>
      <c r="AB19" s="24">
        <f>ROUND(IF(AQ19="1",BH19,0),2)</f>
        <v>0</v>
      </c>
      <c r="AC19" s="24">
        <f>ROUND(IF(AQ19="1",BI19,0),2)</f>
        <v>0</v>
      </c>
      <c r="AD19" s="24">
        <f>ROUND(IF(AQ19="7",BH19,0),2)</f>
        <v>0</v>
      </c>
      <c r="AE19" s="24">
        <f>ROUND(IF(AQ19="7",BI19,0),2)</f>
        <v>0</v>
      </c>
      <c r="AF19" s="24">
        <f>ROUND(IF(AQ19="2",BH19,0),2)</f>
        <v>0</v>
      </c>
      <c r="AG19" s="24">
        <f>ROUND(IF(AQ19="2",BI19,0),2)</f>
        <v>0</v>
      </c>
      <c r="AH19" s="24">
        <f>ROUND(IF(AQ19="0",BJ19,0),2)</f>
        <v>0</v>
      </c>
      <c r="AI19" s="10" t="s">
        <v>47</v>
      </c>
      <c r="AJ19" s="24">
        <f>IF(AN19=0,J19,0)</f>
        <v>0</v>
      </c>
      <c r="AK19" s="24">
        <f>IF(AN19=12,J19,0)</f>
        <v>0</v>
      </c>
      <c r="AL19" s="24">
        <f>IF(AN19=21,J19,0)</f>
        <v>0</v>
      </c>
      <c r="AN19" s="24">
        <v>21</v>
      </c>
      <c r="AO19" s="24">
        <f>G19*0</f>
        <v>0</v>
      </c>
      <c r="AP19" s="24">
        <f>G19*(1-0)</f>
        <v>0</v>
      </c>
      <c r="AQ19" s="26" t="s">
        <v>50</v>
      </c>
      <c r="AV19" s="24">
        <f>ROUND(AW19+AX19,2)</f>
        <v>0</v>
      </c>
      <c r="AW19" s="24">
        <f>ROUND(F19*AO19,2)</f>
        <v>0</v>
      </c>
      <c r="AX19" s="24">
        <f>ROUND(F19*AP19,2)</f>
        <v>0</v>
      </c>
      <c r="AY19" s="26" t="s">
        <v>75</v>
      </c>
      <c r="AZ19" s="26" t="s">
        <v>75</v>
      </c>
      <c r="BA19" s="10" t="s">
        <v>55</v>
      </c>
      <c r="BC19" s="24">
        <f>AW19+AX19</f>
        <v>0</v>
      </c>
      <c r="BD19" s="24">
        <f>G19/(100-BE19)*100</f>
        <v>0</v>
      </c>
      <c r="BE19" s="24">
        <v>0</v>
      </c>
      <c r="BF19" s="24">
        <f>19</f>
        <v>19</v>
      </c>
      <c r="BH19" s="24">
        <f>F19*AO19</f>
        <v>0</v>
      </c>
      <c r="BI19" s="24">
        <f>F19*AP19</f>
        <v>0</v>
      </c>
      <c r="BJ19" s="24">
        <f>F19*G19</f>
        <v>0</v>
      </c>
      <c r="BK19" s="26" t="s">
        <v>56</v>
      </c>
      <c r="BL19" s="24">
        <v>12</v>
      </c>
      <c r="BW19" s="24">
        <v>21</v>
      </c>
      <c r="BX19" s="4" t="s">
        <v>78</v>
      </c>
    </row>
    <row r="20" spans="1:76" x14ac:dyDescent="0.25">
      <c r="A20" s="2" t="s">
        <v>79</v>
      </c>
      <c r="B20" s="3" t="s">
        <v>77</v>
      </c>
      <c r="C20" s="71" t="s">
        <v>80</v>
      </c>
      <c r="D20" s="66"/>
      <c r="E20" s="3" t="s">
        <v>74</v>
      </c>
      <c r="F20" s="24">
        <v>19.7</v>
      </c>
      <c r="G20" s="60">
        <v>0</v>
      </c>
      <c r="H20" s="24">
        <f>ROUND(F20*AO20,2)</f>
        <v>0</v>
      </c>
      <c r="I20" s="24">
        <f>ROUND(F20*AP20,2)</f>
        <v>0</v>
      </c>
      <c r="J20" s="24">
        <f>ROUND(F20*G20,2)</f>
        <v>0</v>
      </c>
      <c r="K20" s="25" t="s">
        <v>63</v>
      </c>
      <c r="Z20" s="24">
        <f>ROUND(IF(AQ20="5",BJ20,0),2)</f>
        <v>0</v>
      </c>
      <c r="AB20" s="24">
        <f>ROUND(IF(AQ20="1",BH20,0),2)</f>
        <v>0</v>
      </c>
      <c r="AC20" s="24">
        <f>ROUND(IF(AQ20="1",BI20,0),2)</f>
        <v>0</v>
      </c>
      <c r="AD20" s="24">
        <f>ROUND(IF(AQ20="7",BH20,0),2)</f>
        <v>0</v>
      </c>
      <c r="AE20" s="24">
        <f>ROUND(IF(AQ20="7",BI20,0),2)</f>
        <v>0</v>
      </c>
      <c r="AF20" s="24">
        <f>ROUND(IF(AQ20="2",BH20,0),2)</f>
        <v>0</v>
      </c>
      <c r="AG20" s="24">
        <f>ROUND(IF(AQ20="2",BI20,0),2)</f>
        <v>0</v>
      </c>
      <c r="AH20" s="24">
        <f>ROUND(IF(AQ20="0",BJ20,0),2)</f>
        <v>0</v>
      </c>
      <c r="AI20" s="10" t="s">
        <v>47</v>
      </c>
      <c r="AJ20" s="24">
        <f>IF(AN20=0,J20,0)</f>
        <v>0</v>
      </c>
      <c r="AK20" s="24">
        <f>IF(AN20=12,J20,0)</f>
        <v>0</v>
      </c>
      <c r="AL20" s="24">
        <f>IF(AN20=21,J20,0)</f>
        <v>0</v>
      </c>
      <c r="AN20" s="24">
        <v>21</v>
      </c>
      <c r="AO20" s="24">
        <f>G20*0</f>
        <v>0</v>
      </c>
      <c r="AP20" s="24">
        <f>G20*(1-0)</f>
        <v>0</v>
      </c>
      <c r="AQ20" s="26" t="s">
        <v>50</v>
      </c>
      <c r="AV20" s="24">
        <f>ROUND(AW20+AX20,2)</f>
        <v>0</v>
      </c>
      <c r="AW20" s="24">
        <f>ROUND(F20*AO20,2)</f>
        <v>0</v>
      </c>
      <c r="AX20" s="24">
        <f>ROUND(F20*AP20,2)</f>
        <v>0</v>
      </c>
      <c r="AY20" s="26" t="s">
        <v>75</v>
      </c>
      <c r="AZ20" s="26" t="s">
        <v>75</v>
      </c>
      <c r="BA20" s="10" t="s">
        <v>55</v>
      </c>
      <c r="BC20" s="24">
        <f>AW20+AX20</f>
        <v>0</v>
      </c>
      <c r="BD20" s="24">
        <f>G20/(100-BE20)*100</f>
        <v>0</v>
      </c>
      <c r="BE20" s="24">
        <v>0</v>
      </c>
      <c r="BF20" s="24">
        <f>20</f>
        <v>20</v>
      </c>
      <c r="BH20" s="24">
        <f>F20*AO20</f>
        <v>0</v>
      </c>
      <c r="BI20" s="24">
        <f>F20*AP20</f>
        <v>0</v>
      </c>
      <c r="BJ20" s="24">
        <f>F20*G20</f>
        <v>0</v>
      </c>
      <c r="BK20" s="26" t="s">
        <v>56</v>
      </c>
      <c r="BL20" s="24">
        <v>12</v>
      </c>
      <c r="BW20" s="24">
        <v>21</v>
      </c>
      <c r="BX20" s="4" t="s">
        <v>80</v>
      </c>
    </row>
    <row r="21" spans="1:76" x14ac:dyDescent="0.25">
      <c r="A21" s="2" t="s">
        <v>81</v>
      </c>
      <c r="B21" s="3" t="s">
        <v>77</v>
      </c>
      <c r="C21" s="71" t="s">
        <v>82</v>
      </c>
      <c r="D21" s="66"/>
      <c r="E21" s="3" t="s">
        <v>74</v>
      </c>
      <c r="F21" s="24">
        <v>8.1999999999999993</v>
      </c>
      <c r="G21" s="60">
        <v>0</v>
      </c>
      <c r="H21" s="24">
        <f>ROUND(F21*AO21,2)</f>
        <v>0</v>
      </c>
      <c r="I21" s="24">
        <f>ROUND(F21*AP21,2)</f>
        <v>0</v>
      </c>
      <c r="J21" s="24">
        <f>ROUND(F21*G21,2)</f>
        <v>0</v>
      </c>
      <c r="K21" s="25" t="s">
        <v>63</v>
      </c>
      <c r="Z21" s="24">
        <f>ROUND(IF(AQ21="5",BJ21,0),2)</f>
        <v>0</v>
      </c>
      <c r="AB21" s="24">
        <f>ROUND(IF(AQ21="1",BH21,0),2)</f>
        <v>0</v>
      </c>
      <c r="AC21" s="24">
        <f>ROUND(IF(AQ21="1",BI21,0),2)</f>
        <v>0</v>
      </c>
      <c r="AD21" s="24">
        <f>ROUND(IF(AQ21="7",BH21,0),2)</f>
        <v>0</v>
      </c>
      <c r="AE21" s="24">
        <f>ROUND(IF(AQ21="7",BI21,0),2)</f>
        <v>0</v>
      </c>
      <c r="AF21" s="24">
        <f>ROUND(IF(AQ21="2",BH21,0),2)</f>
        <v>0</v>
      </c>
      <c r="AG21" s="24">
        <f>ROUND(IF(AQ21="2",BI21,0),2)</f>
        <v>0</v>
      </c>
      <c r="AH21" s="24">
        <f>ROUND(IF(AQ21="0",BJ21,0),2)</f>
        <v>0</v>
      </c>
      <c r="AI21" s="10" t="s">
        <v>47</v>
      </c>
      <c r="AJ21" s="24">
        <f>IF(AN21=0,J21,0)</f>
        <v>0</v>
      </c>
      <c r="AK21" s="24">
        <f>IF(AN21=12,J21,0)</f>
        <v>0</v>
      </c>
      <c r="AL21" s="24">
        <f>IF(AN21=21,J21,0)</f>
        <v>0</v>
      </c>
      <c r="AN21" s="24">
        <v>21</v>
      </c>
      <c r="AO21" s="24">
        <f>G21*0</f>
        <v>0</v>
      </c>
      <c r="AP21" s="24">
        <f>G21*(1-0)</f>
        <v>0</v>
      </c>
      <c r="AQ21" s="26" t="s">
        <v>50</v>
      </c>
      <c r="AV21" s="24">
        <f>ROUND(AW21+AX21,2)</f>
        <v>0</v>
      </c>
      <c r="AW21" s="24">
        <f>ROUND(F21*AO21,2)</f>
        <v>0</v>
      </c>
      <c r="AX21" s="24">
        <f>ROUND(F21*AP21,2)</f>
        <v>0</v>
      </c>
      <c r="AY21" s="26" t="s">
        <v>75</v>
      </c>
      <c r="AZ21" s="26" t="s">
        <v>75</v>
      </c>
      <c r="BA21" s="10" t="s">
        <v>55</v>
      </c>
      <c r="BC21" s="24">
        <f>AW21+AX21</f>
        <v>0</v>
      </c>
      <c r="BD21" s="24">
        <f>G21/(100-BE21)*100</f>
        <v>0</v>
      </c>
      <c r="BE21" s="24">
        <v>0</v>
      </c>
      <c r="BF21" s="24">
        <f>21</f>
        <v>21</v>
      </c>
      <c r="BH21" s="24">
        <f>F21*AO21</f>
        <v>0</v>
      </c>
      <c r="BI21" s="24">
        <f>F21*AP21</f>
        <v>0</v>
      </c>
      <c r="BJ21" s="24">
        <f>F21*G21</f>
        <v>0</v>
      </c>
      <c r="BK21" s="26" t="s">
        <v>56</v>
      </c>
      <c r="BL21" s="24">
        <v>12</v>
      </c>
      <c r="BW21" s="24">
        <v>21</v>
      </c>
      <c r="BX21" s="4" t="s">
        <v>82</v>
      </c>
    </row>
    <row r="22" spans="1:76" x14ac:dyDescent="0.25">
      <c r="A22" s="27" t="s">
        <v>47</v>
      </c>
      <c r="B22" s="28" t="s">
        <v>83</v>
      </c>
      <c r="C22" s="89" t="s">
        <v>84</v>
      </c>
      <c r="D22" s="90"/>
      <c r="E22" s="29" t="s">
        <v>28</v>
      </c>
      <c r="F22" s="29" t="s">
        <v>28</v>
      </c>
      <c r="G22" s="29" t="s">
        <v>28</v>
      </c>
      <c r="H22" s="1">
        <f>ROUND(SUM(H23:H28),2)</f>
        <v>0</v>
      </c>
      <c r="I22" s="1">
        <f>ROUND(SUM(I23:I28),2)</f>
        <v>0</v>
      </c>
      <c r="J22" s="1">
        <f>ROUND(SUM(J23:J28),2)</f>
        <v>0</v>
      </c>
      <c r="K22" s="30" t="s">
        <v>47</v>
      </c>
      <c r="AI22" s="10" t="s">
        <v>47</v>
      </c>
      <c r="AS22" s="1">
        <f>SUM(AJ23:AJ28)</f>
        <v>0</v>
      </c>
      <c r="AT22" s="1">
        <f>SUM(AK23:AK28)</f>
        <v>0</v>
      </c>
      <c r="AU22" s="1">
        <f>SUM(AL23:AL28)</f>
        <v>0</v>
      </c>
    </row>
    <row r="23" spans="1:76" ht="25.5" x14ac:dyDescent="0.25">
      <c r="A23" s="2" t="s">
        <v>85</v>
      </c>
      <c r="B23" s="3" t="s">
        <v>86</v>
      </c>
      <c r="C23" s="71" t="s">
        <v>87</v>
      </c>
      <c r="D23" s="66"/>
      <c r="E23" s="3" t="s">
        <v>74</v>
      </c>
      <c r="F23" s="24">
        <v>16.399999999999999</v>
      </c>
      <c r="G23" s="60">
        <v>0</v>
      </c>
      <c r="H23" s="24">
        <f t="shared" ref="H23:H28" si="0">ROUND(F23*AO23,2)</f>
        <v>0</v>
      </c>
      <c r="I23" s="24">
        <f t="shared" ref="I23:I28" si="1">ROUND(F23*AP23,2)</f>
        <v>0</v>
      </c>
      <c r="J23" s="24">
        <f t="shared" ref="J23:J28" si="2">ROUND(F23*G23,2)</f>
        <v>0</v>
      </c>
      <c r="K23" s="25" t="s">
        <v>63</v>
      </c>
      <c r="Z23" s="24">
        <f t="shared" ref="Z23:Z28" si="3">ROUND(IF(AQ23="5",BJ23,0),2)</f>
        <v>0</v>
      </c>
      <c r="AB23" s="24">
        <f t="shared" ref="AB23:AB28" si="4">ROUND(IF(AQ23="1",BH23,0),2)</f>
        <v>0</v>
      </c>
      <c r="AC23" s="24">
        <f t="shared" ref="AC23:AC28" si="5">ROUND(IF(AQ23="1",BI23,0),2)</f>
        <v>0</v>
      </c>
      <c r="AD23" s="24">
        <f t="shared" ref="AD23:AD28" si="6">ROUND(IF(AQ23="7",BH23,0),2)</f>
        <v>0</v>
      </c>
      <c r="AE23" s="24">
        <f t="shared" ref="AE23:AE28" si="7">ROUND(IF(AQ23="7",BI23,0),2)</f>
        <v>0</v>
      </c>
      <c r="AF23" s="24">
        <f t="shared" ref="AF23:AF28" si="8">ROUND(IF(AQ23="2",BH23,0),2)</f>
        <v>0</v>
      </c>
      <c r="AG23" s="24">
        <f t="shared" ref="AG23:AG28" si="9">ROUND(IF(AQ23="2",BI23,0),2)</f>
        <v>0</v>
      </c>
      <c r="AH23" s="24">
        <f t="shared" ref="AH23:AH28" si="10">ROUND(IF(AQ23="0",BJ23,0),2)</f>
        <v>0</v>
      </c>
      <c r="AI23" s="10" t="s">
        <v>47</v>
      </c>
      <c r="AJ23" s="24">
        <f t="shared" ref="AJ23:AJ28" si="11">IF(AN23=0,J23,0)</f>
        <v>0</v>
      </c>
      <c r="AK23" s="24">
        <f t="shared" ref="AK23:AK28" si="12">IF(AN23=12,J23,0)</f>
        <v>0</v>
      </c>
      <c r="AL23" s="24">
        <f t="shared" ref="AL23:AL28" si="13">IF(AN23=21,J23,0)</f>
        <v>0</v>
      </c>
      <c r="AN23" s="24">
        <v>21</v>
      </c>
      <c r="AO23" s="24">
        <f t="shared" ref="AO23:AO28" si="14">G23*0</f>
        <v>0</v>
      </c>
      <c r="AP23" s="24">
        <f t="shared" ref="AP23:AP28" si="15">G23*(1-0)</f>
        <v>0</v>
      </c>
      <c r="AQ23" s="26" t="s">
        <v>50</v>
      </c>
      <c r="AV23" s="24">
        <f t="shared" ref="AV23:AV28" si="16">ROUND(AW23+AX23,2)</f>
        <v>0</v>
      </c>
      <c r="AW23" s="24">
        <f t="shared" ref="AW23:AW28" si="17">ROUND(F23*AO23,2)</f>
        <v>0</v>
      </c>
      <c r="AX23" s="24">
        <f t="shared" ref="AX23:AX28" si="18">ROUND(F23*AP23,2)</f>
        <v>0</v>
      </c>
      <c r="AY23" s="26" t="s">
        <v>88</v>
      </c>
      <c r="AZ23" s="26" t="s">
        <v>88</v>
      </c>
      <c r="BA23" s="10" t="s">
        <v>55</v>
      </c>
      <c r="BC23" s="24">
        <f t="shared" ref="BC23:BC28" si="19">AW23+AX23</f>
        <v>0</v>
      </c>
      <c r="BD23" s="24">
        <f t="shared" ref="BD23:BD28" si="20">G23/(100-BE23)*100</f>
        <v>0</v>
      </c>
      <c r="BE23" s="24">
        <v>0</v>
      </c>
      <c r="BF23" s="24">
        <f>23</f>
        <v>23</v>
      </c>
      <c r="BH23" s="24">
        <f t="shared" ref="BH23:BH28" si="21">F23*AO23</f>
        <v>0</v>
      </c>
      <c r="BI23" s="24">
        <f t="shared" ref="BI23:BI28" si="22">F23*AP23</f>
        <v>0</v>
      </c>
      <c r="BJ23" s="24">
        <f t="shared" ref="BJ23:BJ28" si="23">F23*G23</f>
        <v>0</v>
      </c>
      <c r="BK23" s="26" t="s">
        <v>56</v>
      </c>
      <c r="BL23" s="24">
        <v>16</v>
      </c>
      <c r="BW23" s="24">
        <v>21</v>
      </c>
      <c r="BX23" s="4" t="s">
        <v>87</v>
      </c>
    </row>
    <row r="24" spans="1:76" ht="25.5" x14ac:dyDescent="0.25">
      <c r="A24" s="2" t="s">
        <v>89</v>
      </c>
      <c r="B24" s="3" t="s">
        <v>90</v>
      </c>
      <c r="C24" s="71" t="s">
        <v>91</v>
      </c>
      <c r="D24" s="66"/>
      <c r="E24" s="3" t="s">
        <v>74</v>
      </c>
      <c r="F24" s="24">
        <v>8.1999999999999993</v>
      </c>
      <c r="G24" s="60">
        <v>0</v>
      </c>
      <c r="H24" s="24">
        <f t="shared" si="0"/>
        <v>0</v>
      </c>
      <c r="I24" s="24">
        <f t="shared" si="1"/>
        <v>0</v>
      </c>
      <c r="J24" s="24">
        <f t="shared" si="2"/>
        <v>0</v>
      </c>
      <c r="K24" s="25" t="s">
        <v>63</v>
      </c>
      <c r="Z24" s="24">
        <f t="shared" si="3"/>
        <v>0</v>
      </c>
      <c r="AB24" s="24">
        <f t="shared" si="4"/>
        <v>0</v>
      </c>
      <c r="AC24" s="24">
        <f t="shared" si="5"/>
        <v>0</v>
      </c>
      <c r="AD24" s="24">
        <f t="shared" si="6"/>
        <v>0</v>
      </c>
      <c r="AE24" s="24">
        <f t="shared" si="7"/>
        <v>0</v>
      </c>
      <c r="AF24" s="24">
        <f t="shared" si="8"/>
        <v>0</v>
      </c>
      <c r="AG24" s="24">
        <f t="shared" si="9"/>
        <v>0</v>
      </c>
      <c r="AH24" s="24">
        <f t="shared" si="10"/>
        <v>0</v>
      </c>
      <c r="AI24" s="10" t="s">
        <v>47</v>
      </c>
      <c r="AJ24" s="24">
        <f t="shared" si="11"/>
        <v>0</v>
      </c>
      <c r="AK24" s="24">
        <f t="shared" si="12"/>
        <v>0</v>
      </c>
      <c r="AL24" s="24">
        <f t="shared" si="13"/>
        <v>0</v>
      </c>
      <c r="AN24" s="24">
        <v>21</v>
      </c>
      <c r="AO24" s="24">
        <f t="shared" si="14"/>
        <v>0</v>
      </c>
      <c r="AP24" s="24">
        <f t="shared" si="15"/>
        <v>0</v>
      </c>
      <c r="AQ24" s="26" t="s">
        <v>50</v>
      </c>
      <c r="AV24" s="24">
        <f t="shared" si="16"/>
        <v>0</v>
      </c>
      <c r="AW24" s="24">
        <f t="shared" si="17"/>
        <v>0</v>
      </c>
      <c r="AX24" s="24">
        <f t="shared" si="18"/>
        <v>0</v>
      </c>
      <c r="AY24" s="26" t="s">
        <v>88</v>
      </c>
      <c r="AZ24" s="26" t="s">
        <v>88</v>
      </c>
      <c r="BA24" s="10" t="s">
        <v>55</v>
      </c>
      <c r="BC24" s="24">
        <f t="shared" si="19"/>
        <v>0</v>
      </c>
      <c r="BD24" s="24">
        <f t="shared" si="20"/>
        <v>0</v>
      </c>
      <c r="BE24" s="24">
        <v>0</v>
      </c>
      <c r="BF24" s="24">
        <f>24</f>
        <v>24</v>
      </c>
      <c r="BH24" s="24">
        <f t="shared" si="21"/>
        <v>0</v>
      </c>
      <c r="BI24" s="24">
        <f t="shared" si="22"/>
        <v>0</v>
      </c>
      <c r="BJ24" s="24">
        <f t="shared" si="23"/>
        <v>0</v>
      </c>
      <c r="BK24" s="26" t="s">
        <v>56</v>
      </c>
      <c r="BL24" s="24">
        <v>16</v>
      </c>
      <c r="BW24" s="24">
        <v>21</v>
      </c>
      <c r="BX24" s="4" t="s">
        <v>91</v>
      </c>
    </row>
    <row r="25" spans="1:76" ht="25.5" x14ac:dyDescent="0.25">
      <c r="A25" s="2" t="s">
        <v>92</v>
      </c>
      <c r="B25" s="3" t="s">
        <v>93</v>
      </c>
      <c r="C25" s="71" t="s">
        <v>94</v>
      </c>
      <c r="D25" s="66"/>
      <c r="E25" s="3" t="s">
        <v>74</v>
      </c>
      <c r="F25" s="24">
        <v>42.4</v>
      </c>
      <c r="G25" s="60">
        <v>0</v>
      </c>
      <c r="H25" s="24">
        <f t="shared" si="0"/>
        <v>0</v>
      </c>
      <c r="I25" s="24">
        <f t="shared" si="1"/>
        <v>0</v>
      </c>
      <c r="J25" s="24">
        <f t="shared" si="2"/>
        <v>0</v>
      </c>
      <c r="K25" s="25" t="s">
        <v>63</v>
      </c>
      <c r="Z25" s="24">
        <f t="shared" si="3"/>
        <v>0</v>
      </c>
      <c r="AB25" s="24">
        <f t="shared" si="4"/>
        <v>0</v>
      </c>
      <c r="AC25" s="24">
        <f t="shared" si="5"/>
        <v>0</v>
      </c>
      <c r="AD25" s="24">
        <f t="shared" si="6"/>
        <v>0</v>
      </c>
      <c r="AE25" s="24">
        <f t="shared" si="7"/>
        <v>0</v>
      </c>
      <c r="AF25" s="24">
        <f t="shared" si="8"/>
        <v>0</v>
      </c>
      <c r="AG25" s="24">
        <f t="shared" si="9"/>
        <v>0</v>
      </c>
      <c r="AH25" s="24">
        <f t="shared" si="10"/>
        <v>0</v>
      </c>
      <c r="AI25" s="10" t="s">
        <v>47</v>
      </c>
      <c r="AJ25" s="24">
        <f t="shared" si="11"/>
        <v>0</v>
      </c>
      <c r="AK25" s="24">
        <f t="shared" si="12"/>
        <v>0</v>
      </c>
      <c r="AL25" s="24">
        <f t="shared" si="13"/>
        <v>0</v>
      </c>
      <c r="AN25" s="24">
        <v>21</v>
      </c>
      <c r="AO25" s="24">
        <f t="shared" si="14"/>
        <v>0</v>
      </c>
      <c r="AP25" s="24">
        <f t="shared" si="15"/>
        <v>0</v>
      </c>
      <c r="AQ25" s="26" t="s">
        <v>50</v>
      </c>
      <c r="AV25" s="24">
        <f t="shared" si="16"/>
        <v>0</v>
      </c>
      <c r="AW25" s="24">
        <f t="shared" si="17"/>
        <v>0</v>
      </c>
      <c r="AX25" s="24">
        <f t="shared" si="18"/>
        <v>0</v>
      </c>
      <c r="AY25" s="26" t="s">
        <v>88</v>
      </c>
      <c r="AZ25" s="26" t="s">
        <v>88</v>
      </c>
      <c r="BA25" s="10" t="s">
        <v>55</v>
      </c>
      <c r="BC25" s="24">
        <f t="shared" si="19"/>
        <v>0</v>
      </c>
      <c r="BD25" s="24">
        <f t="shared" si="20"/>
        <v>0</v>
      </c>
      <c r="BE25" s="24">
        <v>0</v>
      </c>
      <c r="BF25" s="24">
        <f>25</f>
        <v>25</v>
      </c>
      <c r="BH25" s="24">
        <f t="shared" si="21"/>
        <v>0</v>
      </c>
      <c r="BI25" s="24">
        <f t="shared" si="22"/>
        <v>0</v>
      </c>
      <c r="BJ25" s="24">
        <f t="shared" si="23"/>
        <v>0</v>
      </c>
      <c r="BK25" s="26" t="s">
        <v>56</v>
      </c>
      <c r="BL25" s="24">
        <v>16</v>
      </c>
      <c r="BW25" s="24">
        <v>21</v>
      </c>
      <c r="BX25" s="4" t="s">
        <v>94</v>
      </c>
    </row>
    <row r="26" spans="1:76" ht="25.5" x14ac:dyDescent="0.25">
      <c r="A26" s="2" t="s">
        <v>57</v>
      </c>
      <c r="B26" s="3" t="s">
        <v>95</v>
      </c>
      <c r="C26" s="71" t="s">
        <v>96</v>
      </c>
      <c r="D26" s="66"/>
      <c r="E26" s="3" t="s">
        <v>74</v>
      </c>
      <c r="F26" s="24">
        <v>720.8</v>
      </c>
      <c r="G26" s="60">
        <v>0</v>
      </c>
      <c r="H26" s="24">
        <f t="shared" si="0"/>
        <v>0</v>
      </c>
      <c r="I26" s="24">
        <f t="shared" si="1"/>
        <v>0</v>
      </c>
      <c r="J26" s="24">
        <f t="shared" si="2"/>
        <v>0</v>
      </c>
      <c r="K26" s="25" t="s">
        <v>63</v>
      </c>
      <c r="Z26" s="24">
        <f t="shared" si="3"/>
        <v>0</v>
      </c>
      <c r="AB26" s="24">
        <f t="shared" si="4"/>
        <v>0</v>
      </c>
      <c r="AC26" s="24">
        <f t="shared" si="5"/>
        <v>0</v>
      </c>
      <c r="AD26" s="24">
        <f t="shared" si="6"/>
        <v>0</v>
      </c>
      <c r="AE26" s="24">
        <f t="shared" si="7"/>
        <v>0</v>
      </c>
      <c r="AF26" s="24">
        <f t="shared" si="8"/>
        <v>0</v>
      </c>
      <c r="AG26" s="24">
        <f t="shared" si="9"/>
        <v>0</v>
      </c>
      <c r="AH26" s="24">
        <f t="shared" si="10"/>
        <v>0</v>
      </c>
      <c r="AI26" s="10" t="s">
        <v>47</v>
      </c>
      <c r="AJ26" s="24">
        <f t="shared" si="11"/>
        <v>0</v>
      </c>
      <c r="AK26" s="24">
        <f t="shared" si="12"/>
        <v>0</v>
      </c>
      <c r="AL26" s="24">
        <f t="shared" si="13"/>
        <v>0</v>
      </c>
      <c r="AN26" s="24">
        <v>21</v>
      </c>
      <c r="AO26" s="24">
        <f t="shared" si="14"/>
        <v>0</v>
      </c>
      <c r="AP26" s="24">
        <f t="shared" si="15"/>
        <v>0</v>
      </c>
      <c r="AQ26" s="26" t="s">
        <v>50</v>
      </c>
      <c r="AV26" s="24">
        <f t="shared" si="16"/>
        <v>0</v>
      </c>
      <c r="AW26" s="24">
        <f t="shared" si="17"/>
        <v>0</v>
      </c>
      <c r="AX26" s="24">
        <f t="shared" si="18"/>
        <v>0</v>
      </c>
      <c r="AY26" s="26" t="s">
        <v>88</v>
      </c>
      <c r="AZ26" s="26" t="s">
        <v>88</v>
      </c>
      <c r="BA26" s="10" t="s">
        <v>55</v>
      </c>
      <c r="BC26" s="24">
        <f t="shared" si="19"/>
        <v>0</v>
      </c>
      <c r="BD26" s="24">
        <f t="shared" si="20"/>
        <v>0</v>
      </c>
      <c r="BE26" s="24">
        <v>0</v>
      </c>
      <c r="BF26" s="24">
        <f>26</f>
        <v>26</v>
      </c>
      <c r="BH26" s="24">
        <f t="shared" si="21"/>
        <v>0</v>
      </c>
      <c r="BI26" s="24">
        <f t="shared" si="22"/>
        <v>0</v>
      </c>
      <c r="BJ26" s="24">
        <f t="shared" si="23"/>
        <v>0</v>
      </c>
      <c r="BK26" s="26" t="s">
        <v>56</v>
      </c>
      <c r="BL26" s="24">
        <v>16</v>
      </c>
      <c r="BW26" s="24">
        <v>21</v>
      </c>
      <c r="BX26" s="4" t="s">
        <v>96</v>
      </c>
    </row>
    <row r="27" spans="1:76" ht="25.5" x14ac:dyDescent="0.25">
      <c r="A27" s="2" t="s">
        <v>69</v>
      </c>
      <c r="B27" s="3" t="s">
        <v>93</v>
      </c>
      <c r="C27" s="71" t="s">
        <v>97</v>
      </c>
      <c r="D27" s="66"/>
      <c r="E27" s="3" t="s">
        <v>74</v>
      </c>
      <c r="F27" s="24">
        <v>19.7</v>
      </c>
      <c r="G27" s="60">
        <v>0</v>
      </c>
      <c r="H27" s="24">
        <f t="shared" si="0"/>
        <v>0</v>
      </c>
      <c r="I27" s="24">
        <f t="shared" si="1"/>
        <v>0</v>
      </c>
      <c r="J27" s="24">
        <f t="shared" si="2"/>
        <v>0</v>
      </c>
      <c r="K27" s="25" t="s">
        <v>63</v>
      </c>
      <c r="Z27" s="24">
        <f t="shared" si="3"/>
        <v>0</v>
      </c>
      <c r="AB27" s="24">
        <f t="shared" si="4"/>
        <v>0</v>
      </c>
      <c r="AC27" s="24">
        <f t="shared" si="5"/>
        <v>0</v>
      </c>
      <c r="AD27" s="24">
        <f t="shared" si="6"/>
        <v>0</v>
      </c>
      <c r="AE27" s="24">
        <f t="shared" si="7"/>
        <v>0</v>
      </c>
      <c r="AF27" s="24">
        <f t="shared" si="8"/>
        <v>0</v>
      </c>
      <c r="AG27" s="24">
        <f t="shared" si="9"/>
        <v>0</v>
      </c>
      <c r="AH27" s="24">
        <f t="shared" si="10"/>
        <v>0</v>
      </c>
      <c r="AI27" s="10" t="s">
        <v>47</v>
      </c>
      <c r="AJ27" s="24">
        <f t="shared" si="11"/>
        <v>0</v>
      </c>
      <c r="AK27" s="24">
        <f t="shared" si="12"/>
        <v>0</v>
      </c>
      <c r="AL27" s="24">
        <f t="shared" si="13"/>
        <v>0</v>
      </c>
      <c r="AN27" s="24">
        <v>21</v>
      </c>
      <c r="AO27" s="24">
        <f t="shared" si="14"/>
        <v>0</v>
      </c>
      <c r="AP27" s="24">
        <f t="shared" si="15"/>
        <v>0</v>
      </c>
      <c r="AQ27" s="26" t="s">
        <v>50</v>
      </c>
      <c r="AV27" s="24">
        <f t="shared" si="16"/>
        <v>0</v>
      </c>
      <c r="AW27" s="24">
        <f t="shared" si="17"/>
        <v>0</v>
      </c>
      <c r="AX27" s="24">
        <f t="shared" si="18"/>
        <v>0</v>
      </c>
      <c r="AY27" s="26" t="s">
        <v>88</v>
      </c>
      <c r="AZ27" s="26" t="s">
        <v>88</v>
      </c>
      <c r="BA27" s="10" t="s">
        <v>55</v>
      </c>
      <c r="BC27" s="24">
        <f t="shared" si="19"/>
        <v>0</v>
      </c>
      <c r="BD27" s="24">
        <f t="shared" si="20"/>
        <v>0</v>
      </c>
      <c r="BE27" s="24">
        <v>0</v>
      </c>
      <c r="BF27" s="24">
        <f>27</f>
        <v>27</v>
      </c>
      <c r="BH27" s="24">
        <f t="shared" si="21"/>
        <v>0</v>
      </c>
      <c r="BI27" s="24">
        <f t="shared" si="22"/>
        <v>0</v>
      </c>
      <c r="BJ27" s="24">
        <f t="shared" si="23"/>
        <v>0</v>
      </c>
      <c r="BK27" s="26" t="s">
        <v>56</v>
      </c>
      <c r="BL27" s="24">
        <v>16</v>
      </c>
      <c r="BW27" s="24">
        <v>21</v>
      </c>
      <c r="BX27" s="4" t="s">
        <v>97</v>
      </c>
    </row>
    <row r="28" spans="1:76" ht="25.5" x14ac:dyDescent="0.25">
      <c r="A28" s="2" t="s">
        <v>98</v>
      </c>
      <c r="B28" s="3" t="s">
        <v>95</v>
      </c>
      <c r="C28" s="71" t="s">
        <v>99</v>
      </c>
      <c r="D28" s="66"/>
      <c r="E28" s="3" t="s">
        <v>74</v>
      </c>
      <c r="F28" s="24">
        <v>334.9</v>
      </c>
      <c r="G28" s="60">
        <v>0</v>
      </c>
      <c r="H28" s="24">
        <f t="shared" si="0"/>
        <v>0</v>
      </c>
      <c r="I28" s="24">
        <f t="shared" si="1"/>
        <v>0</v>
      </c>
      <c r="J28" s="24">
        <f t="shared" si="2"/>
        <v>0</v>
      </c>
      <c r="K28" s="25" t="s">
        <v>63</v>
      </c>
      <c r="Z28" s="24">
        <f t="shared" si="3"/>
        <v>0</v>
      </c>
      <c r="AB28" s="24">
        <f t="shared" si="4"/>
        <v>0</v>
      </c>
      <c r="AC28" s="24">
        <f t="shared" si="5"/>
        <v>0</v>
      </c>
      <c r="AD28" s="24">
        <f t="shared" si="6"/>
        <v>0</v>
      </c>
      <c r="AE28" s="24">
        <f t="shared" si="7"/>
        <v>0</v>
      </c>
      <c r="AF28" s="24">
        <f t="shared" si="8"/>
        <v>0</v>
      </c>
      <c r="AG28" s="24">
        <f t="shared" si="9"/>
        <v>0</v>
      </c>
      <c r="AH28" s="24">
        <f t="shared" si="10"/>
        <v>0</v>
      </c>
      <c r="AI28" s="10" t="s">
        <v>47</v>
      </c>
      <c r="AJ28" s="24">
        <f t="shared" si="11"/>
        <v>0</v>
      </c>
      <c r="AK28" s="24">
        <f t="shared" si="12"/>
        <v>0</v>
      </c>
      <c r="AL28" s="24">
        <f t="shared" si="13"/>
        <v>0</v>
      </c>
      <c r="AN28" s="24">
        <v>21</v>
      </c>
      <c r="AO28" s="24">
        <f t="shared" si="14"/>
        <v>0</v>
      </c>
      <c r="AP28" s="24">
        <f t="shared" si="15"/>
        <v>0</v>
      </c>
      <c r="AQ28" s="26" t="s">
        <v>50</v>
      </c>
      <c r="AV28" s="24">
        <f t="shared" si="16"/>
        <v>0</v>
      </c>
      <c r="AW28" s="24">
        <f t="shared" si="17"/>
        <v>0</v>
      </c>
      <c r="AX28" s="24">
        <f t="shared" si="18"/>
        <v>0</v>
      </c>
      <c r="AY28" s="26" t="s">
        <v>88</v>
      </c>
      <c r="AZ28" s="26" t="s">
        <v>88</v>
      </c>
      <c r="BA28" s="10" t="s">
        <v>55</v>
      </c>
      <c r="BC28" s="24">
        <f t="shared" si="19"/>
        <v>0</v>
      </c>
      <c r="BD28" s="24">
        <f t="shared" si="20"/>
        <v>0</v>
      </c>
      <c r="BE28" s="24">
        <v>0</v>
      </c>
      <c r="BF28" s="24">
        <f>28</f>
        <v>28</v>
      </c>
      <c r="BH28" s="24">
        <f t="shared" si="21"/>
        <v>0</v>
      </c>
      <c r="BI28" s="24">
        <f t="shared" si="22"/>
        <v>0</v>
      </c>
      <c r="BJ28" s="24">
        <f t="shared" si="23"/>
        <v>0</v>
      </c>
      <c r="BK28" s="26" t="s">
        <v>56</v>
      </c>
      <c r="BL28" s="24">
        <v>16</v>
      </c>
      <c r="BW28" s="24">
        <v>21</v>
      </c>
      <c r="BX28" s="4" t="s">
        <v>99</v>
      </c>
    </row>
    <row r="29" spans="1:76" x14ac:dyDescent="0.25">
      <c r="A29" s="27" t="s">
        <v>47</v>
      </c>
      <c r="B29" s="28" t="s">
        <v>100</v>
      </c>
      <c r="C29" s="89" t="s">
        <v>101</v>
      </c>
      <c r="D29" s="90"/>
      <c r="E29" s="29" t="s">
        <v>28</v>
      </c>
      <c r="F29" s="29" t="s">
        <v>28</v>
      </c>
      <c r="G29" s="29" t="s">
        <v>28</v>
      </c>
      <c r="H29" s="1">
        <f>ROUND(SUM(H30:H35),2)</f>
        <v>0</v>
      </c>
      <c r="I29" s="1">
        <f>ROUND(SUM(I30:I35),2)</f>
        <v>0</v>
      </c>
      <c r="J29" s="1">
        <f>ROUND(SUM(J30:J35),2)</f>
        <v>0</v>
      </c>
      <c r="K29" s="30" t="s">
        <v>47</v>
      </c>
      <c r="AI29" s="10" t="s">
        <v>47</v>
      </c>
      <c r="AS29" s="1">
        <f>SUM(AJ30:AJ35)</f>
        <v>0</v>
      </c>
      <c r="AT29" s="1">
        <f>SUM(AK30:AK35)</f>
        <v>0</v>
      </c>
      <c r="AU29" s="1">
        <f>SUM(AL30:AL35)</f>
        <v>0</v>
      </c>
    </row>
    <row r="30" spans="1:76" x14ac:dyDescent="0.25">
      <c r="A30" s="2" t="s">
        <v>102</v>
      </c>
      <c r="B30" s="3" t="s">
        <v>103</v>
      </c>
      <c r="C30" s="71" t="s">
        <v>104</v>
      </c>
      <c r="D30" s="66"/>
      <c r="E30" s="3" t="s">
        <v>62</v>
      </c>
      <c r="F30" s="24">
        <v>57.8</v>
      </c>
      <c r="G30" s="60">
        <v>0</v>
      </c>
      <c r="H30" s="24">
        <f t="shared" ref="H30:H35" si="24">ROUND(F30*AO30,2)</f>
        <v>0</v>
      </c>
      <c r="I30" s="24">
        <f t="shared" ref="I30:I35" si="25">ROUND(F30*AP30,2)</f>
        <v>0</v>
      </c>
      <c r="J30" s="24">
        <f t="shared" ref="J30:J35" si="26">ROUND(F30*G30,2)</f>
        <v>0</v>
      </c>
      <c r="K30" s="25" t="s">
        <v>63</v>
      </c>
      <c r="Z30" s="24">
        <f t="shared" ref="Z30:Z35" si="27">ROUND(IF(AQ30="5",BJ30,0),2)</f>
        <v>0</v>
      </c>
      <c r="AB30" s="24">
        <f t="shared" ref="AB30:AB35" si="28">ROUND(IF(AQ30="1",BH30,0),2)</f>
        <v>0</v>
      </c>
      <c r="AC30" s="24">
        <f t="shared" ref="AC30:AC35" si="29">ROUND(IF(AQ30="1",BI30,0),2)</f>
        <v>0</v>
      </c>
      <c r="AD30" s="24">
        <f t="shared" ref="AD30:AD35" si="30">ROUND(IF(AQ30="7",BH30,0),2)</f>
        <v>0</v>
      </c>
      <c r="AE30" s="24">
        <f t="shared" ref="AE30:AE35" si="31">ROUND(IF(AQ30="7",BI30,0),2)</f>
        <v>0</v>
      </c>
      <c r="AF30" s="24">
        <f t="shared" ref="AF30:AF35" si="32">ROUND(IF(AQ30="2",BH30,0),2)</f>
        <v>0</v>
      </c>
      <c r="AG30" s="24">
        <f t="shared" ref="AG30:AG35" si="33">ROUND(IF(AQ30="2",BI30,0),2)</f>
        <v>0</v>
      </c>
      <c r="AH30" s="24">
        <f t="shared" ref="AH30:AH35" si="34">ROUND(IF(AQ30="0",BJ30,0),2)</f>
        <v>0</v>
      </c>
      <c r="AI30" s="10" t="s">
        <v>47</v>
      </c>
      <c r="AJ30" s="24">
        <f t="shared" ref="AJ30:AJ35" si="35">IF(AN30=0,J30,0)</f>
        <v>0</v>
      </c>
      <c r="AK30" s="24">
        <f t="shared" ref="AK30:AK35" si="36">IF(AN30=12,J30,0)</f>
        <v>0</v>
      </c>
      <c r="AL30" s="24">
        <f t="shared" ref="AL30:AL35" si="37">IF(AN30=21,J30,0)</f>
        <v>0</v>
      </c>
      <c r="AN30" s="24">
        <v>21</v>
      </c>
      <c r="AO30" s="24">
        <f>G30*0</f>
        <v>0</v>
      </c>
      <c r="AP30" s="24">
        <f>G30*(1-0)</f>
        <v>0</v>
      </c>
      <c r="AQ30" s="26" t="s">
        <v>50</v>
      </c>
      <c r="AV30" s="24">
        <f t="shared" ref="AV30:AV35" si="38">ROUND(AW30+AX30,2)</f>
        <v>0</v>
      </c>
      <c r="AW30" s="24">
        <f t="shared" ref="AW30:AW35" si="39">ROUND(F30*AO30,2)</f>
        <v>0</v>
      </c>
      <c r="AX30" s="24">
        <f t="shared" ref="AX30:AX35" si="40">ROUND(F30*AP30,2)</f>
        <v>0</v>
      </c>
      <c r="AY30" s="26" t="s">
        <v>105</v>
      </c>
      <c r="AZ30" s="26" t="s">
        <v>105</v>
      </c>
      <c r="BA30" s="10" t="s">
        <v>55</v>
      </c>
      <c r="BC30" s="24">
        <f t="shared" ref="BC30:BC35" si="41">AW30+AX30</f>
        <v>0</v>
      </c>
      <c r="BD30" s="24">
        <f t="shared" ref="BD30:BD35" si="42">G30/(100-BE30)*100</f>
        <v>0</v>
      </c>
      <c r="BE30" s="24">
        <v>0</v>
      </c>
      <c r="BF30" s="24">
        <f>30</f>
        <v>30</v>
      </c>
      <c r="BH30" s="24">
        <f t="shared" ref="BH30:BH35" si="43">F30*AO30</f>
        <v>0</v>
      </c>
      <c r="BI30" s="24">
        <f t="shared" ref="BI30:BI35" si="44">F30*AP30</f>
        <v>0</v>
      </c>
      <c r="BJ30" s="24">
        <f t="shared" ref="BJ30:BJ35" si="45">F30*G30</f>
        <v>0</v>
      </c>
      <c r="BK30" s="26" t="s">
        <v>56</v>
      </c>
      <c r="BL30" s="24">
        <v>18</v>
      </c>
      <c r="BW30" s="24">
        <v>21</v>
      </c>
      <c r="BX30" s="4" t="s">
        <v>104</v>
      </c>
    </row>
    <row r="31" spans="1:76" x14ac:dyDescent="0.25">
      <c r="A31" s="2" t="s">
        <v>106</v>
      </c>
      <c r="B31" s="3" t="s">
        <v>107</v>
      </c>
      <c r="C31" s="71" t="s">
        <v>108</v>
      </c>
      <c r="D31" s="66"/>
      <c r="E31" s="3" t="s">
        <v>62</v>
      </c>
      <c r="F31" s="24">
        <v>196.7</v>
      </c>
      <c r="G31" s="60">
        <v>0</v>
      </c>
      <c r="H31" s="24">
        <f t="shared" si="24"/>
        <v>0</v>
      </c>
      <c r="I31" s="24">
        <f t="shared" si="25"/>
        <v>0</v>
      </c>
      <c r="J31" s="24">
        <f t="shared" si="26"/>
        <v>0</v>
      </c>
      <c r="K31" s="25" t="s">
        <v>63</v>
      </c>
      <c r="Z31" s="24">
        <f t="shared" si="27"/>
        <v>0</v>
      </c>
      <c r="AB31" s="24">
        <f t="shared" si="28"/>
        <v>0</v>
      </c>
      <c r="AC31" s="24">
        <f t="shared" si="29"/>
        <v>0</v>
      </c>
      <c r="AD31" s="24">
        <f t="shared" si="30"/>
        <v>0</v>
      </c>
      <c r="AE31" s="24">
        <f t="shared" si="31"/>
        <v>0</v>
      </c>
      <c r="AF31" s="24">
        <f t="shared" si="32"/>
        <v>0</v>
      </c>
      <c r="AG31" s="24">
        <f t="shared" si="33"/>
        <v>0</v>
      </c>
      <c r="AH31" s="24">
        <f t="shared" si="34"/>
        <v>0</v>
      </c>
      <c r="AI31" s="10" t="s">
        <v>47</v>
      </c>
      <c r="AJ31" s="24">
        <f t="shared" si="35"/>
        <v>0</v>
      </c>
      <c r="AK31" s="24">
        <f t="shared" si="36"/>
        <v>0</v>
      </c>
      <c r="AL31" s="24">
        <f t="shared" si="37"/>
        <v>0</v>
      </c>
      <c r="AN31" s="24">
        <v>21</v>
      </c>
      <c r="AO31" s="24">
        <f>G31*0</f>
        <v>0</v>
      </c>
      <c r="AP31" s="24">
        <f>G31*(1-0)</f>
        <v>0</v>
      </c>
      <c r="AQ31" s="26" t="s">
        <v>50</v>
      </c>
      <c r="AV31" s="24">
        <f t="shared" si="38"/>
        <v>0</v>
      </c>
      <c r="AW31" s="24">
        <f t="shared" si="39"/>
        <v>0</v>
      </c>
      <c r="AX31" s="24">
        <f t="shared" si="40"/>
        <v>0</v>
      </c>
      <c r="AY31" s="26" t="s">
        <v>105</v>
      </c>
      <c r="AZ31" s="26" t="s">
        <v>105</v>
      </c>
      <c r="BA31" s="10" t="s">
        <v>55</v>
      </c>
      <c r="BC31" s="24">
        <f t="shared" si="41"/>
        <v>0</v>
      </c>
      <c r="BD31" s="24">
        <f t="shared" si="42"/>
        <v>0</v>
      </c>
      <c r="BE31" s="24">
        <v>0</v>
      </c>
      <c r="BF31" s="24">
        <f>31</f>
        <v>31</v>
      </c>
      <c r="BH31" s="24">
        <f t="shared" si="43"/>
        <v>0</v>
      </c>
      <c r="BI31" s="24">
        <f t="shared" si="44"/>
        <v>0</v>
      </c>
      <c r="BJ31" s="24">
        <f t="shared" si="45"/>
        <v>0</v>
      </c>
      <c r="BK31" s="26" t="s">
        <v>56</v>
      </c>
      <c r="BL31" s="24">
        <v>18</v>
      </c>
      <c r="BW31" s="24">
        <v>21</v>
      </c>
      <c r="BX31" s="4" t="s">
        <v>108</v>
      </c>
    </row>
    <row r="32" spans="1:76" x14ac:dyDescent="0.25">
      <c r="A32" s="2" t="s">
        <v>83</v>
      </c>
      <c r="B32" s="3" t="s">
        <v>109</v>
      </c>
      <c r="C32" s="71" t="s">
        <v>110</v>
      </c>
      <c r="D32" s="66"/>
      <c r="E32" s="3" t="s">
        <v>62</v>
      </c>
      <c r="F32" s="24">
        <v>41</v>
      </c>
      <c r="G32" s="60">
        <v>0</v>
      </c>
      <c r="H32" s="24">
        <f t="shared" si="24"/>
        <v>0</v>
      </c>
      <c r="I32" s="24">
        <f t="shared" si="25"/>
        <v>0</v>
      </c>
      <c r="J32" s="24">
        <f t="shared" si="26"/>
        <v>0</v>
      </c>
      <c r="K32" s="25" t="s">
        <v>63</v>
      </c>
      <c r="Z32" s="24">
        <f t="shared" si="27"/>
        <v>0</v>
      </c>
      <c r="AB32" s="24">
        <f t="shared" si="28"/>
        <v>0</v>
      </c>
      <c r="AC32" s="24">
        <f t="shared" si="29"/>
        <v>0</v>
      </c>
      <c r="AD32" s="24">
        <f t="shared" si="30"/>
        <v>0</v>
      </c>
      <c r="AE32" s="24">
        <f t="shared" si="31"/>
        <v>0</v>
      </c>
      <c r="AF32" s="24">
        <f t="shared" si="32"/>
        <v>0</v>
      </c>
      <c r="AG32" s="24">
        <f t="shared" si="33"/>
        <v>0</v>
      </c>
      <c r="AH32" s="24">
        <f t="shared" si="34"/>
        <v>0</v>
      </c>
      <c r="AI32" s="10" t="s">
        <v>47</v>
      </c>
      <c r="AJ32" s="24">
        <f t="shared" si="35"/>
        <v>0</v>
      </c>
      <c r="AK32" s="24">
        <f t="shared" si="36"/>
        <v>0</v>
      </c>
      <c r="AL32" s="24">
        <f t="shared" si="37"/>
        <v>0</v>
      </c>
      <c r="AN32" s="24">
        <v>21</v>
      </c>
      <c r="AO32" s="24">
        <f>G32*0</f>
        <v>0</v>
      </c>
      <c r="AP32" s="24">
        <f>G32*(1-0)</f>
        <v>0</v>
      </c>
      <c r="AQ32" s="26" t="s">
        <v>50</v>
      </c>
      <c r="AV32" s="24">
        <f t="shared" si="38"/>
        <v>0</v>
      </c>
      <c r="AW32" s="24">
        <f t="shared" si="39"/>
        <v>0</v>
      </c>
      <c r="AX32" s="24">
        <f t="shared" si="40"/>
        <v>0</v>
      </c>
      <c r="AY32" s="26" t="s">
        <v>105</v>
      </c>
      <c r="AZ32" s="26" t="s">
        <v>105</v>
      </c>
      <c r="BA32" s="10" t="s">
        <v>55</v>
      </c>
      <c r="BC32" s="24">
        <f t="shared" si="41"/>
        <v>0</v>
      </c>
      <c r="BD32" s="24">
        <f t="shared" si="42"/>
        <v>0</v>
      </c>
      <c r="BE32" s="24">
        <v>0</v>
      </c>
      <c r="BF32" s="24">
        <f>32</f>
        <v>32</v>
      </c>
      <c r="BH32" s="24">
        <f t="shared" si="43"/>
        <v>0</v>
      </c>
      <c r="BI32" s="24">
        <f t="shared" si="44"/>
        <v>0</v>
      </c>
      <c r="BJ32" s="24">
        <f t="shared" si="45"/>
        <v>0</v>
      </c>
      <c r="BK32" s="26" t="s">
        <v>56</v>
      </c>
      <c r="BL32" s="24">
        <v>18</v>
      </c>
      <c r="BW32" s="24">
        <v>21</v>
      </c>
      <c r="BX32" s="4" t="s">
        <v>110</v>
      </c>
    </row>
    <row r="33" spans="1:76" x14ac:dyDescent="0.25">
      <c r="A33" s="2" t="s">
        <v>111</v>
      </c>
      <c r="B33" s="3" t="s">
        <v>112</v>
      </c>
      <c r="C33" s="71" t="s">
        <v>113</v>
      </c>
      <c r="D33" s="66"/>
      <c r="E33" s="3" t="s">
        <v>62</v>
      </c>
      <c r="F33" s="24">
        <v>57.8</v>
      </c>
      <c r="G33" s="60">
        <v>0</v>
      </c>
      <c r="H33" s="24">
        <f t="shared" si="24"/>
        <v>0</v>
      </c>
      <c r="I33" s="24">
        <f t="shared" si="25"/>
        <v>0</v>
      </c>
      <c r="J33" s="24">
        <f t="shared" si="26"/>
        <v>0</v>
      </c>
      <c r="K33" s="25" t="s">
        <v>63</v>
      </c>
      <c r="Z33" s="24">
        <f t="shared" si="27"/>
        <v>0</v>
      </c>
      <c r="AB33" s="24">
        <f t="shared" si="28"/>
        <v>0</v>
      </c>
      <c r="AC33" s="24">
        <f t="shared" si="29"/>
        <v>0</v>
      </c>
      <c r="AD33" s="24">
        <f t="shared" si="30"/>
        <v>0</v>
      </c>
      <c r="AE33" s="24">
        <f t="shared" si="31"/>
        <v>0</v>
      </c>
      <c r="AF33" s="24">
        <f t="shared" si="32"/>
        <v>0</v>
      </c>
      <c r="AG33" s="24">
        <f t="shared" si="33"/>
        <v>0</v>
      </c>
      <c r="AH33" s="24">
        <f t="shared" si="34"/>
        <v>0</v>
      </c>
      <c r="AI33" s="10" t="s">
        <v>47</v>
      </c>
      <c r="AJ33" s="24">
        <f t="shared" si="35"/>
        <v>0</v>
      </c>
      <c r="AK33" s="24">
        <f t="shared" si="36"/>
        <v>0</v>
      </c>
      <c r="AL33" s="24">
        <f t="shared" si="37"/>
        <v>0</v>
      </c>
      <c r="AN33" s="24">
        <v>21</v>
      </c>
      <c r="AO33" s="24">
        <f>G33*0.06686675</f>
        <v>0</v>
      </c>
      <c r="AP33" s="24">
        <f>G33*(1-0.06686675)</f>
        <v>0</v>
      </c>
      <c r="AQ33" s="26" t="s">
        <v>50</v>
      </c>
      <c r="AV33" s="24">
        <f t="shared" si="38"/>
        <v>0</v>
      </c>
      <c r="AW33" s="24">
        <f t="shared" si="39"/>
        <v>0</v>
      </c>
      <c r="AX33" s="24">
        <f t="shared" si="40"/>
        <v>0</v>
      </c>
      <c r="AY33" s="26" t="s">
        <v>105</v>
      </c>
      <c r="AZ33" s="26" t="s">
        <v>105</v>
      </c>
      <c r="BA33" s="10" t="s">
        <v>55</v>
      </c>
      <c r="BC33" s="24">
        <f t="shared" si="41"/>
        <v>0</v>
      </c>
      <c r="BD33" s="24">
        <f t="shared" si="42"/>
        <v>0</v>
      </c>
      <c r="BE33" s="24">
        <v>0</v>
      </c>
      <c r="BF33" s="24">
        <f>33</f>
        <v>33</v>
      </c>
      <c r="BH33" s="24">
        <f t="shared" si="43"/>
        <v>0</v>
      </c>
      <c r="BI33" s="24">
        <f t="shared" si="44"/>
        <v>0</v>
      </c>
      <c r="BJ33" s="24">
        <f t="shared" si="45"/>
        <v>0</v>
      </c>
      <c r="BK33" s="26" t="s">
        <v>56</v>
      </c>
      <c r="BL33" s="24">
        <v>18</v>
      </c>
      <c r="BW33" s="24">
        <v>21</v>
      </c>
      <c r="BX33" s="4" t="s">
        <v>113</v>
      </c>
    </row>
    <row r="34" spans="1:76" x14ac:dyDescent="0.25">
      <c r="A34" s="2" t="s">
        <v>100</v>
      </c>
      <c r="B34" s="3" t="s">
        <v>114</v>
      </c>
      <c r="C34" s="71" t="s">
        <v>115</v>
      </c>
      <c r="D34" s="66"/>
      <c r="E34" s="3" t="s">
        <v>116</v>
      </c>
      <c r="F34" s="24">
        <v>1.5</v>
      </c>
      <c r="G34" s="60">
        <v>0</v>
      </c>
      <c r="H34" s="24">
        <f t="shared" si="24"/>
        <v>0</v>
      </c>
      <c r="I34" s="24">
        <f t="shared" si="25"/>
        <v>0</v>
      </c>
      <c r="J34" s="24">
        <f t="shared" si="26"/>
        <v>0</v>
      </c>
      <c r="K34" s="25" t="s">
        <v>63</v>
      </c>
      <c r="Z34" s="24">
        <f t="shared" si="27"/>
        <v>0</v>
      </c>
      <c r="AB34" s="24">
        <f t="shared" si="28"/>
        <v>0</v>
      </c>
      <c r="AC34" s="24">
        <f t="shared" si="29"/>
        <v>0</v>
      </c>
      <c r="AD34" s="24">
        <f t="shared" si="30"/>
        <v>0</v>
      </c>
      <c r="AE34" s="24">
        <f t="shared" si="31"/>
        <v>0</v>
      </c>
      <c r="AF34" s="24">
        <f t="shared" si="32"/>
        <v>0</v>
      </c>
      <c r="AG34" s="24">
        <f t="shared" si="33"/>
        <v>0</v>
      </c>
      <c r="AH34" s="24">
        <f t="shared" si="34"/>
        <v>0</v>
      </c>
      <c r="AI34" s="10" t="s">
        <v>47</v>
      </c>
      <c r="AJ34" s="24">
        <f t="shared" si="35"/>
        <v>0</v>
      </c>
      <c r="AK34" s="24">
        <f t="shared" si="36"/>
        <v>0</v>
      </c>
      <c r="AL34" s="24">
        <f t="shared" si="37"/>
        <v>0</v>
      </c>
      <c r="AN34" s="24">
        <v>21</v>
      </c>
      <c r="AO34" s="24">
        <f>G34*1</f>
        <v>0</v>
      </c>
      <c r="AP34" s="24">
        <f>G34*(1-1)</f>
        <v>0</v>
      </c>
      <c r="AQ34" s="26" t="s">
        <v>50</v>
      </c>
      <c r="AV34" s="24">
        <f t="shared" si="38"/>
        <v>0</v>
      </c>
      <c r="AW34" s="24">
        <f t="shared" si="39"/>
        <v>0</v>
      </c>
      <c r="AX34" s="24">
        <f t="shared" si="40"/>
        <v>0</v>
      </c>
      <c r="AY34" s="26" t="s">
        <v>105</v>
      </c>
      <c r="AZ34" s="26" t="s">
        <v>105</v>
      </c>
      <c r="BA34" s="10" t="s">
        <v>55</v>
      </c>
      <c r="BC34" s="24">
        <f t="shared" si="41"/>
        <v>0</v>
      </c>
      <c r="BD34" s="24">
        <f t="shared" si="42"/>
        <v>0</v>
      </c>
      <c r="BE34" s="24">
        <v>0</v>
      </c>
      <c r="BF34" s="24">
        <f>34</f>
        <v>34</v>
      </c>
      <c r="BH34" s="24">
        <f t="shared" si="43"/>
        <v>0</v>
      </c>
      <c r="BI34" s="24">
        <f t="shared" si="44"/>
        <v>0</v>
      </c>
      <c r="BJ34" s="24">
        <f t="shared" si="45"/>
        <v>0</v>
      </c>
      <c r="BK34" s="26" t="s">
        <v>117</v>
      </c>
      <c r="BL34" s="24">
        <v>18</v>
      </c>
      <c r="BW34" s="24">
        <v>21</v>
      </c>
      <c r="BX34" s="4" t="s">
        <v>115</v>
      </c>
    </row>
    <row r="35" spans="1:76" x14ac:dyDescent="0.25">
      <c r="A35" s="2" t="s">
        <v>118</v>
      </c>
      <c r="B35" s="3" t="s">
        <v>119</v>
      </c>
      <c r="C35" s="71" t="s">
        <v>120</v>
      </c>
      <c r="D35" s="66"/>
      <c r="E35" s="3" t="s">
        <v>53</v>
      </c>
      <c r="F35" s="24">
        <v>15</v>
      </c>
      <c r="G35" s="60">
        <v>0</v>
      </c>
      <c r="H35" s="24">
        <f t="shared" si="24"/>
        <v>0</v>
      </c>
      <c r="I35" s="24">
        <f t="shared" si="25"/>
        <v>0</v>
      </c>
      <c r="J35" s="24">
        <f t="shared" si="26"/>
        <v>0</v>
      </c>
      <c r="K35" s="25" t="s">
        <v>63</v>
      </c>
      <c r="Z35" s="24">
        <f t="shared" si="27"/>
        <v>0</v>
      </c>
      <c r="AB35" s="24">
        <f t="shared" si="28"/>
        <v>0</v>
      </c>
      <c r="AC35" s="24">
        <f t="shared" si="29"/>
        <v>0</v>
      </c>
      <c r="AD35" s="24">
        <f t="shared" si="30"/>
        <v>0</v>
      </c>
      <c r="AE35" s="24">
        <f t="shared" si="31"/>
        <v>0</v>
      </c>
      <c r="AF35" s="24">
        <f t="shared" si="32"/>
        <v>0</v>
      </c>
      <c r="AG35" s="24">
        <f t="shared" si="33"/>
        <v>0</v>
      </c>
      <c r="AH35" s="24">
        <f t="shared" si="34"/>
        <v>0</v>
      </c>
      <c r="AI35" s="10" t="s">
        <v>47</v>
      </c>
      <c r="AJ35" s="24">
        <f t="shared" si="35"/>
        <v>0</v>
      </c>
      <c r="AK35" s="24">
        <f t="shared" si="36"/>
        <v>0</v>
      </c>
      <c r="AL35" s="24">
        <f t="shared" si="37"/>
        <v>0</v>
      </c>
      <c r="AN35" s="24">
        <v>21</v>
      </c>
      <c r="AO35" s="24">
        <f>G35*0</f>
        <v>0</v>
      </c>
      <c r="AP35" s="24">
        <f>G35*(1-0)</f>
        <v>0</v>
      </c>
      <c r="AQ35" s="26" t="s">
        <v>50</v>
      </c>
      <c r="AV35" s="24">
        <f t="shared" si="38"/>
        <v>0</v>
      </c>
      <c r="AW35" s="24">
        <f t="shared" si="39"/>
        <v>0</v>
      </c>
      <c r="AX35" s="24">
        <f t="shared" si="40"/>
        <v>0</v>
      </c>
      <c r="AY35" s="26" t="s">
        <v>105</v>
      </c>
      <c r="AZ35" s="26" t="s">
        <v>105</v>
      </c>
      <c r="BA35" s="10" t="s">
        <v>55</v>
      </c>
      <c r="BC35" s="24">
        <f t="shared" si="41"/>
        <v>0</v>
      </c>
      <c r="BD35" s="24">
        <f t="shared" si="42"/>
        <v>0</v>
      </c>
      <c r="BE35" s="24">
        <v>0</v>
      </c>
      <c r="BF35" s="24">
        <f>35</f>
        <v>35</v>
      </c>
      <c r="BH35" s="24">
        <f t="shared" si="43"/>
        <v>0</v>
      </c>
      <c r="BI35" s="24">
        <f t="shared" si="44"/>
        <v>0</v>
      </c>
      <c r="BJ35" s="24">
        <f t="shared" si="45"/>
        <v>0</v>
      </c>
      <c r="BK35" s="26" t="s">
        <v>56</v>
      </c>
      <c r="BL35" s="24">
        <v>18</v>
      </c>
      <c r="BW35" s="24">
        <v>21</v>
      </c>
      <c r="BX35" s="4" t="s">
        <v>120</v>
      </c>
    </row>
    <row r="36" spans="1:76" x14ac:dyDescent="0.25">
      <c r="A36" s="27" t="s">
        <v>47</v>
      </c>
      <c r="B36" s="28" t="s">
        <v>118</v>
      </c>
      <c r="C36" s="89" t="s">
        <v>121</v>
      </c>
      <c r="D36" s="90"/>
      <c r="E36" s="29" t="s">
        <v>28</v>
      </c>
      <c r="F36" s="29" t="s">
        <v>28</v>
      </c>
      <c r="G36" s="29" t="s">
        <v>28</v>
      </c>
      <c r="H36" s="1">
        <f>ROUND(SUM(H37:H38),2)</f>
        <v>0</v>
      </c>
      <c r="I36" s="1">
        <f>ROUND(SUM(I37:I38),2)</f>
        <v>0</v>
      </c>
      <c r="J36" s="1">
        <f>ROUND(SUM(J37:J38),2)</f>
        <v>0</v>
      </c>
      <c r="K36" s="30" t="s">
        <v>47</v>
      </c>
      <c r="AI36" s="10" t="s">
        <v>47</v>
      </c>
      <c r="AS36" s="1">
        <f>SUM(AJ37:AJ38)</f>
        <v>0</v>
      </c>
      <c r="AT36" s="1">
        <f>SUM(AK37:AK38)</f>
        <v>0</v>
      </c>
      <c r="AU36" s="1">
        <f>SUM(AL37:AL38)</f>
        <v>0</v>
      </c>
    </row>
    <row r="37" spans="1:76" x14ac:dyDescent="0.25">
      <c r="A37" s="2" t="s">
        <v>122</v>
      </c>
      <c r="B37" s="3" t="s">
        <v>123</v>
      </c>
      <c r="C37" s="71" t="s">
        <v>124</v>
      </c>
      <c r="D37" s="66"/>
      <c r="E37" s="3" t="s">
        <v>74</v>
      </c>
      <c r="F37" s="24">
        <v>42.4</v>
      </c>
      <c r="G37" s="60">
        <v>0</v>
      </c>
      <c r="H37" s="24">
        <f>ROUND(F37*AO37,2)</f>
        <v>0</v>
      </c>
      <c r="I37" s="24">
        <f>ROUND(F37*AP37,2)</f>
        <v>0</v>
      </c>
      <c r="J37" s="24">
        <f>ROUND(F37*G37,2)</f>
        <v>0</v>
      </c>
      <c r="K37" s="25" t="s">
        <v>63</v>
      </c>
      <c r="Z37" s="24">
        <f>ROUND(IF(AQ37="5",BJ37,0),2)</f>
        <v>0</v>
      </c>
      <c r="AB37" s="24">
        <f>ROUND(IF(AQ37="1",BH37,0),2)</f>
        <v>0</v>
      </c>
      <c r="AC37" s="24">
        <f>ROUND(IF(AQ37="1",BI37,0),2)</f>
        <v>0</v>
      </c>
      <c r="AD37" s="24">
        <f>ROUND(IF(AQ37="7",BH37,0),2)</f>
        <v>0</v>
      </c>
      <c r="AE37" s="24">
        <f>ROUND(IF(AQ37="7",BI37,0),2)</f>
        <v>0</v>
      </c>
      <c r="AF37" s="24">
        <f>ROUND(IF(AQ37="2",BH37,0),2)</f>
        <v>0</v>
      </c>
      <c r="AG37" s="24">
        <f>ROUND(IF(AQ37="2",BI37,0),2)</f>
        <v>0</v>
      </c>
      <c r="AH37" s="24">
        <f>ROUND(IF(AQ37="0",BJ37,0),2)</f>
        <v>0</v>
      </c>
      <c r="AI37" s="10" t="s">
        <v>47</v>
      </c>
      <c r="AJ37" s="24">
        <f>IF(AN37=0,J37,0)</f>
        <v>0</v>
      </c>
      <c r="AK37" s="24">
        <f>IF(AN37=12,J37,0)</f>
        <v>0</v>
      </c>
      <c r="AL37" s="24">
        <f>IF(AN37=21,J37,0)</f>
        <v>0</v>
      </c>
      <c r="AN37" s="24">
        <v>21</v>
      </c>
      <c r="AO37" s="24">
        <f>G37*0</f>
        <v>0</v>
      </c>
      <c r="AP37" s="24">
        <f>G37*(1-0)</f>
        <v>0</v>
      </c>
      <c r="AQ37" s="26" t="s">
        <v>50</v>
      </c>
      <c r="AV37" s="24">
        <f>ROUND(AW37+AX37,2)</f>
        <v>0</v>
      </c>
      <c r="AW37" s="24">
        <f>ROUND(F37*AO37,2)</f>
        <v>0</v>
      </c>
      <c r="AX37" s="24">
        <f>ROUND(F37*AP37,2)</f>
        <v>0</v>
      </c>
      <c r="AY37" s="26" t="s">
        <v>125</v>
      </c>
      <c r="AZ37" s="26" t="s">
        <v>125</v>
      </c>
      <c r="BA37" s="10" t="s">
        <v>55</v>
      </c>
      <c r="BC37" s="24">
        <f>AW37+AX37</f>
        <v>0</v>
      </c>
      <c r="BD37" s="24">
        <f>G37/(100-BE37)*100</f>
        <v>0</v>
      </c>
      <c r="BE37" s="24">
        <v>0</v>
      </c>
      <c r="BF37" s="24">
        <f>37</f>
        <v>37</v>
      </c>
      <c r="BH37" s="24">
        <f>F37*AO37</f>
        <v>0</v>
      </c>
      <c r="BI37" s="24">
        <f>F37*AP37</f>
        <v>0</v>
      </c>
      <c r="BJ37" s="24">
        <f>F37*G37</f>
        <v>0</v>
      </c>
      <c r="BK37" s="26" t="s">
        <v>56</v>
      </c>
      <c r="BL37" s="24">
        <v>19</v>
      </c>
      <c r="BW37" s="24">
        <v>21</v>
      </c>
      <c r="BX37" s="4" t="s">
        <v>124</v>
      </c>
    </row>
    <row r="38" spans="1:76" ht="25.5" x14ac:dyDescent="0.25">
      <c r="A38" s="2" t="s">
        <v>126</v>
      </c>
      <c r="B38" s="3" t="s">
        <v>123</v>
      </c>
      <c r="C38" s="71" t="s">
        <v>127</v>
      </c>
      <c r="D38" s="66"/>
      <c r="E38" s="3" t="s">
        <v>74</v>
      </c>
      <c r="F38" s="24">
        <v>19.7</v>
      </c>
      <c r="G38" s="60">
        <v>0</v>
      </c>
      <c r="H38" s="24">
        <f>ROUND(F38*AO38,2)</f>
        <v>0</v>
      </c>
      <c r="I38" s="24">
        <f>ROUND(F38*AP38,2)</f>
        <v>0</v>
      </c>
      <c r="J38" s="24">
        <f>ROUND(F38*G38,2)</f>
        <v>0</v>
      </c>
      <c r="K38" s="25" t="s">
        <v>63</v>
      </c>
      <c r="Z38" s="24">
        <f>ROUND(IF(AQ38="5",BJ38,0),2)</f>
        <v>0</v>
      </c>
      <c r="AB38" s="24">
        <f>ROUND(IF(AQ38="1",BH38,0),2)</f>
        <v>0</v>
      </c>
      <c r="AC38" s="24">
        <f>ROUND(IF(AQ38="1",BI38,0),2)</f>
        <v>0</v>
      </c>
      <c r="AD38" s="24">
        <f>ROUND(IF(AQ38="7",BH38,0),2)</f>
        <v>0</v>
      </c>
      <c r="AE38" s="24">
        <f>ROUND(IF(AQ38="7",BI38,0),2)</f>
        <v>0</v>
      </c>
      <c r="AF38" s="24">
        <f>ROUND(IF(AQ38="2",BH38,0),2)</f>
        <v>0</v>
      </c>
      <c r="AG38" s="24">
        <f>ROUND(IF(AQ38="2",BI38,0),2)</f>
        <v>0</v>
      </c>
      <c r="AH38" s="24">
        <f>ROUND(IF(AQ38="0",BJ38,0),2)</f>
        <v>0</v>
      </c>
      <c r="AI38" s="10" t="s">
        <v>47</v>
      </c>
      <c r="AJ38" s="24">
        <f>IF(AN38=0,J38,0)</f>
        <v>0</v>
      </c>
      <c r="AK38" s="24">
        <f>IF(AN38=12,J38,0)</f>
        <v>0</v>
      </c>
      <c r="AL38" s="24">
        <f>IF(AN38=21,J38,0)</f>
        <v>0</v>
      </c>
      <c r="AN38" s="24">
        <v>21</v>
      </c>
      <c r="AO38" s="24">
        <f>G38*0</f>
        <v>0</v>
      </c>
      <c r="AP38" s="24">
        <f>G38*(1-0)</f>
        <v>0</v>
      </c>
      <c r="AQ38" s="26" t="s">
        <v>50</v>
      </c>
      <c r="AV38" s="24">
        <f>ROUND(AW38+AX38,2)</f>
        <v>0</v>
      </c>
      <c r="AW38" s="24">
        <f>ROUND(F38*AO38,2)</f>
        <v>0</v>
      </c>
      <c r="AX38" s="24">
        <f>ROUND(F38*AP38,2)</f>
        <v>0</v>
      </c>
      <c r="AY38" s="26" t="s">
        <v>125</v>
      </c>
      <c r="AZ38" s="26" t="s">
        <v>125</v>
      </c>
      <c r="BA38" s="10" t="s">
        <v>55</v>
      </c>
      <c r="BC38" s="24">
        <f>AW38+AX38</f>
        <v>0</v>
      </c>
      <c r="BD38" s="24">
        <f>G38/(100-BE38)*100</f>
        <v>0</v>
      </c>
      <c r="BE38" s="24">
        <v>0</v>
      </c>
      <c r="BF38" s="24">
        <f>38</f>
        <v>38</v>
      </c>
      <c r="BH38" s="24">
        <f>F38*AO38</f>
        <v>0</v>
      </c>
      <c r="BI38" s="24">
        <f>F38*AP38</f>
        <v>0</v>
      </c>
      <c r="BJ38" s="24">
        <f>F38*G38</f>
        <v>0</v>
      </c>
      <c r="BK38" s="26" t="s">
        <v>56</v>
      </c>
      <c r="BL38" s="24">
        <v>19</v>
      </c>
      <c r="BW38" s="24">
        <v>21</v>
      </c>
      <c r="BX38" s="4" t="s">
        <v>127</v>
      </c>
    </row>
    <row r="39" spans="1:76" x14ac:dyDescent="0.25">
      <c r="A39" s="27" t="s">
        <v>47</v>
      </c>
      <c r="B39" s="28" t="s">
        <v>128</v>
      </c>
      <c r="C39" s="89" t="s">
        <v>129</v>
      </c>
      <c r="D39" s="90"/>
      <c r="E39" s="29" t="s">
        <v>28</v>
      </c>
      <c r="F39" s="29" t="s">
        <v>28</v>
      </c>
      <c r="G39" s="29" t="s">
        <v>28</v>
      </c>
      <c r="H39" s="1">
        <f>ROUND(SUM(H40:H45),2)</f>
        <v>0</v>
      </c>
      <c r="I39" s="1">
        <f>ROUND(SUM(I40:I45),2)</f>
        <v>0</v>
      </c>
      <c r="J39" s="1">
        <f>ROUND(SUM(J40:J45),2)</f>
        <v>0</v>
      </c>
      <c r="K39" s="30" t="s">
        <v>47</v>
      </c>
      <c r="AI39" s="10" t="s">
        <v>47</v>
      </c>
      <c r="AS39" s="1">
        <f>SUM(AJ40:AJ45)</f>
        <v>0</v>
      </c>
      <c r="AT39" s="1">
        <f>SUM(AK40:AK45)</f>
        <v>0</v>
      </c>
      <c r="AU39" s="1">
        <f>SUM(AL40:AL45)</f>
        <v>0</v>
      </c>
    </row>
    <row r="40" spans="1:76" x14ac:dyDescent="0.25">
      <c r="A40" s="2" t="s">
        <v>130</v>
      </c>
      <c r="B40" s="3" t="s">
        <v>131</v>
      </c>
      <c r="C40" s="71" t="s">
        <v>132</v>
      </c>
      <c r="D40" s="66"/>
      <c r="E40" s="3" t="s">
        <v>74</v>
      </c>
      <c r="F40" s="24">
        <v>8.1999999999999993</v>
      </c>
      <c r="G40" s="60">
        <v>0</v>
      </c>
      <c r="H40" s="24">
        <f t="shared" ref="H40:H45" si="46">ROUND(F40*AO40,2)</f>
        <v>0</v>
      </c>
      <c r="I40" s="24">
        <f t="shared" ref="I40:I45" si="47">ROUND(F40*AP40,2)</f>
        <v>0</v>
      </c>
      <c r="J40" s="24">
        <f t="shared" ref="J40:J45" si="48">ROUND(F40*G40,2)</f>
        <v>0</v>
      </c>
      <c r="K40" s="25" t="s">
        <v>63</v>
      </c>
      <c r="Z40" s="24">
        <f t="shared" ref="Z40:Z45" si="49">ROUND(IF(AQ40="5",BJ40,0),2)</f>
        <v>0</v>
      </c>
      <c r="AB40" s="24">
        <f t="shared" ref="AB40:AB45" si="50">ROUND(IF(AQ40="1",BH40,0),2)</f>
        <v>0</v>
      </c>
      <c r="AC40" s="24">
        <f t="shared" ref="AC40:AC45" si="51">ROUND(IF(AQ40="1",BI40,0),2)</f>
        <v>0</v>
      </c>
      <c r="AD40" s="24">
        <f t="shared" ref="AD40:AD45" si="52">ROUND(IF(AQ40="7",BH40,0),2)</f>
        <v>0</v>
      </c>
      <c r="AE40" s="24">
        <f t="shared" ref="AE40:AE45" si="53">ROUND(IF(AQ40="7",BI40,0),2)</f>
        <v>0</v>
      </c>
      <c r="AF40" s="24">
        <f t="shared" ref="AF40:AF45" si="54">ROUND(IF(AQ40="2",BH40,0),2)</f>
        <v>0</v>
      </c>
      <c r="AG40" s="24">
        <f t="shared" ref="AG40:AG45" si="55">ROUND(IF(AQ40="2",BI40,0),2)</f>
        <v>0</v>
      </c>
      <c r="AH40" s="24">
        <f t="shared" ref="AH40:AH45" si="56">ROUND(IF(AQ40="0",BJ40,0),2)</f>
        <v>0</v>
      </c>
      <c r="AI40" s="10" t="s">
        <v>47</v>
      </c>
      <c r="AJ40" s="24">
        <f t="shared" ref="AJ40:AJ45" si="57">IF(AN40=0,J40,0)</f>
        <v>0</v>
      </c>
      <c r="AK40" s="24">
        <f t="shared" ref="AK40:AK45" si="58">IF(AN40=12,J40,0)</f>
        <v>0</v>
      </c>
      <c r="AL40" s="24">
        <f t="shared" ref="AL40:AL45" si="59">IF(AN40=21,J40,0)</f>
        <v>0</v>
      </c>
      <c r="AN40" s="24">
        <v>21</v>
      </c>
      <c r="AO40" s="24">
        <f>G40*0</f>
        <v>0</v>
      </c>
      <c r="AP40" s="24">
        <f>G40*(1-0)</f>
        <v>0</v>
      </c>
      <c r="AQ40" s="26" t="s">
        <v>50</v>
      </c>
      <c r="AV40" s="24">
        <f t="shared" ref="AV40:AV45" si="60">ROUND(AW40+AX40,2)</f>
        <v>0</v>
      </c>
      <c r="AW40" s="24">
        <f t="shared" ref="AW40:AW45" si="61">ROUND(F40*AO40,2)</f>
        <v>0</v>
      </c>
      <c r="AX40" s="24">
        <f t="shared" ref="AX40:AX45" si="62">ROUND(F40*AP40,2)</f>
        <v>0</v>
      </c>
      <c r="AY40" s="26" t="s">
        <v>133</v>
      </c>
      <c r="AZ40" s="26" t="s">
        <v>133</v>
      </c>
      <c r="BA40" s="10" t="s">
        <v>55</v>
      </c>
      <c r="BC40" s="24">
        <f t="shared" ref="BC40:BC45" si="63">AW40+AX40</f>
        <v>0</v>
      </c>
      <c r="BD40" s="24">
        <f t="shared" ref="BD40:BD45" si="64">G40/(100-BE40)*100</f>
        <v>0</v>
      </c>
      <c r="BE40" s="24">
        <v>0</v>
      </c>
      <c r="BF40" s="24">
        <f>40</f>
        <v>40</v>
      </c>
      <c r="BH40" s="24">
        <f t="shared" ref="BH40:BH45" si="65">F40*AO40</f>
        <v>0</v>
      </c>
      <c r="BI40" s="24">
        <f t="shared" ref="BI40:BI45" si="66">F40*AP40</f>
        <v>0</v>
      </c>
      <c r="BJ40" s="24">
        <f t="shared" ref="BJ40:BJ45" si="67">F40*G40</f>
        <v>0</v>
      </c>
      <c r="BK40" s="26" t="s">
        <v>56</v>
      </c>
      <c r="BL40" s="24">
        <v>56</v>
      </c>
      <c r="BW40" s="24">
        <v>21</v>
      </c>
      <c r="BX40" s="4" t="s">
        <v>132</v>
      </c>
    </row>
    <row r="41" spans="1:76" x14ac:dyDescent="0.25">
      <c r="A41" s="2" t="s">
        <v>134</v>
      </c>
      <c r="B41" s="3" t="s">
        <v>135</v>
      </c>
      <c r="C41" s="71" t="s">
        <v>136</v>
      </c>
      <c r="D41" s="66"/>
      <c r="E41" s="3" t="s">
        <v>62</v>
      </c>
      <c r="F41" s="24">
        <v>196.7</v>
      </c>
      <c r="G41" s="60">
        <v>0</v>
      </c>
      <c r="H41" s="24">
        <f t="shared" si="46"/>
        <v>0</v>
      </c>
      <c r="I41" s="24">
        <f t="shared" si="47"/>
        <v>0</v>
      </c>
      <c r="J41" s="24">
        <f t="shared" si="48"/>
        <v>0</v>
      </c>
      <c r="K41" s="25" t="s">
        <v>63</v>
      </c>
      <c r="Z41" s="24">
        <f t="shared" si="49"/>
        <v>0</v>
      </c>
      <c r="AB41" s="24">
        <f t="shared" si="50"/>
        <v>0</v>
      </c>
      <c r="AC41" s="24">
        <f t="shared" si="51"/>
        <v>0</v>
      </c>
      <c r="AD41" s="24">
        <f t="shared" si="52"/>
        <v>0</v>
      </c>
      <c r="AE41" s="24">
        <f t="shared" si="53"/>
        <v>0</v>
      </c>
      <c r="AF41" s="24">
        <f t="shared" si="54"/>
        <v>0</v>
      </c>
      <c r="AG41" s="24">
        <f t="shared" si="55"/>
        <v>0</v>
      </c>
      <c r="AH41" s="24">
        <f t="shared" si="56"/>
        <v>0</v>
      </c>
      <c r="AI41" s="10" t="s">
        <v>47</v>
      </c>
      <c r="AJ41" s="24">
        <f t="shared" si="57"/>
        <v>0</v>
      </c>
      <c r="AK41" s="24">
        <f t="shared" si="58"/>
        <v>0</v>
      </c>
      <c r="AL41" s="24">
        <f t="shared" si="59"/>
        <v>0</v>
      </c>
      <c r="AN41" s="24">
        <v>21</v>
      </c>
      <c r="AO41" s="24">
        <f>G41*0.832941562</f>
        <v>0</v>
      </c>
      <c r="AP41" s="24">
        <f>G41*(1-0.832941562)</f>
        <v>0</v>
      </c>
      <c r="AQ41" s="26" t="s">
        <v>50</v>
      </c>
      <c r="AV41" s="24">
        <f t="shared" si="60"/>
        <v>0</v>
      </c>
      <c r="AW41" s="24">
        <f t="shared" si="61"/>
        <v>0</v>
      </c>
      <c r="AX41" s="24">
        <f t="shared" si="62"/>
        <v>0</v>
      </c>
      <c r="AY41" s="26" t="s">
        <v>133</v>
      </c>
      <c r="AZ41" s="26" t="s">
        <v>133</v>
      </c>
      <c r="BA41" s="10" t="s">
        <v>55</v>
      </c>
      <c r="BC41" s="24">
        <f t="shared" si="63"/>
        <v>0</v>
      </c>
      <c r="BD41" s="24">
        <f t="shared" si="64"/>
        <v>0</v>
      </c>
      <c r="BE41" s="24">
        <v>0</v>
      </c>
      <c r="BF41" s="24">
        <f>41</f>
        <v>41</v>
      </c>
      <c r="BH41" s="24">
        <f t="shared" si="65"/>
        <v>0</v>
      </c>
      <c r="BI41" s="24">
        <f t="shared" si="66"/>
        <v>0</v>
      </c>
      <c r="BJ41" s="24">
        <f t="shared" si="67"/>
        <v>0</v>
      </c>
      <c r="BK41" s="26" t="s">
        <v>56</v>
      </c>
      <c r="BL41" s="24">
        <v>56</v>
      </c>
      <c r="BW41" s="24">
        <v>21</v>
      </c>
      <c r="BX41" s="4" t="s">
        <v>136</v>
      </c>
    </row>
    <row r="42" spans="1:76" x14ac:dyDescent="0.25">
      <c r="A42" s="2" t="s">
        <v>137</v>
      </c>
      <c r="B42" s="3" t="s">
        <v>138</v>
      </c>
      <c r="C42" s="71" t="s">
        <v>139</v>
      </c>
      <c r="D42" s="66"/>
      <c r="E42" s="3" t="s">
        <v>62</v>
      </c>
      <c r="F42" s="24">
        <v>196.7</v>
      </c>
      <c r="G42" s="60">
        <v>0</v>
      </c>
      <c r="H42" s="24">
        <f t="shared" si="46"/>
        <v>0</v>
      </c>
      <c r="I42" s="24">
        <f t="shared" si="47"/>
        <v>0</v>
      </c>
      <c r="J42" s="24">
        <f t="shared" si="48"/>
        <v>0</v>
      </c>
      <c r="K42" s="25" t="s">
        <v>63</v>
      </c>
      <c r="Z42" s="24">
        <f t="shared" si="49"/>
        <v>0</v>
      </c>
      <c r="AB42" s="24">
        <f t="shared" si="50"/>
        <v>0</v>
      </c>
      <c r="AC42" s="24">
        <f t="shared" si="51"/>
        <v>0</v>
      </c>
      <c r="AD42" s="24">
        <f t="shared" si="52"/>
        <v>0</v>
      </c>
      <c r="AE42" s="24">
        <f t="shared" si="53"/>
        <v>0</v>
      </c>
      <c r="AF42" s="24">
        <f t="shared" si="54"/>
        <v>0</v>
      </c>
      <c r="AG42" s="24">
        <f t="shared" si="55"/>
        <v>0</v>
      </c>
      <c r="AH42" s="24">
        <f t="shared" si="56"/>
        <v>0</v>
      </c>
      <c r="AI42" s="10" t="s">
        <v>47</v>
      </c>
      <c r="AJ42" s="24">
        <f t="shared" si="57"/>
        <v>0</v>
      </c>
      <c r="AK42" s="24">
        <f t="shared" si="58"/>
        <v>0</v>
      </c>
      <c r="AL42" s="24">
        <f t="shared" si="59"/>
        <v>0</v>
      </c>
      <c r="AN42" s="24">
        <v>21</v>
      </c>
      <c r="AO42" s="24">
        <f>G42*0.784140422</f>
        <v>0</v>
      </c>
      <c r="AP42" s="24">
        <f>G42*(1-0.784140422)</f>
        <v>0</v>
      </c>
      <c r="AQ42" s="26" t="s">
        <v>50</v>
      </c>
      <c r="AV42" s="24">
        <f t="shared" si="60"/>
        <v>0</v>
      </c>
      <c r="AW42" s="24">
        <f t="shared" si="61"/>
        <v>0</v>
      </c>
      <c r="AX42" s="24">
        <f t="shared" si="62"/>
        <v>0</v>
      </c>
      <c r="AY42" s="26" t="s">
        <v>133</v>
      </c>
      <c r="AZ42" s="26" t="s">
        <v>133</v>
      </c>
      <c r="BA42" s="10" t="s">
        <v>55</v>
      </c>
      <c r="BC42" s="24">
        <f t="shared" si="63"/>
        <v>0</v>
      </c>
      <c r="BD42" s="24">
        <f t="shared" si="64"/>
        <v>0</v>
      </c>
      <c r="BE42" s="24">
        <v>0</v>
      </c>
      <c r="BF42" s="24">
        <f>42</f>
        <v>42</v>
      </c>
      <c r="BH42" s="24">
        <f t="shared" si="65"/>
        <v>0</v>
      </c>
      <c r="BI42" s="24">
        <f t="shared" si="66"/>
        <v>0</v>
      </c>
      <c r="BJ42" s="24">
        <f t="shared" si="67"/>
        <v>0</v>
      </c>
      <c r="BK42" s="26" t="s">
        <v>56</v>
      </c>
      <c r="BL42" s="24">
        <v>56</v>
      </c>
      <c r="BW42" s="24">
        <v>21</v>
      </c>
      <c r="BX42" s="4" t="s">
        <v>139</v>
      </c>
    </row>
    <row r="43" spans="1:76" x14ac:dyDescent="0.25">
      <c r="A43" s="2" t="s">
        <v>140</v>
      </c>
      <c r="B43" s="3" t="s">
        <v>141</v>
      </c>
      <c r="C43" s="71" t="s">
        <v>142</v>
      </c>
      <c r="D43" s="66"/>
      <c r="E43" s="3" t="s">
        <v>62</v>
      </c>
      <c r="F43" s="24">
        <v>196.7</v>
      </c>
      <c r="G43" s="60">
        <v>0</v>
      </c>
      <c r="H43" s="24">
        <f t="shared" si="46"/>
        <v>0</v>
      </c>
      <c r="I43" s="24">
        <f t="shared" si="47"/>
        <v>0</v>
      </c>
      <c r="J43" s="24">
        <f t="shared" si="48"/>
        <v>0</v>
      </c>
      <c r="K43" s="25" t="s">
        <v>63</v>
      </c>
      <c r="Z43" s="24">
        <f t="shared" si="49"/>
        <v>0</v>
      </c>
      <c r="AB43" s="24">
        <f t="shared" si="50"/>
        <v>0</v>
      </c>
      <c r="AC43" s="24">
        <f t="shared" si="51"/>
        <v>0</v>
      </c>
      <c r="AD43" s="24">
        <f t="shared" si="52"/>
        <v>0</v>
      </c>
      <c r="AE43" s="24">
        <f t="shared" si="53"/>
        <v>0</v>
      </c>
      <c r="AF43" s="24">
        <f t="shared" si="54"/>
        <v>0</v>
      </c>
      <c r="AG43" s="24">
        <f t="shared" si="55"/>
        <v>0</v>
      </c>
      <c r="AH43" s="24">
        <f t="shared" si="56"/>
        <v>0</v>
      </c>
      <c r="AI43" s="10" t="s">
        <v>47</v>
      </c>
      <c r="AJ43" s="24">
        <f t="shared" si="57"/>
        <v>0</v>
      </c>
      <c r="AK43" s="24">
        <f t="shared" si="58"/>
        <v>0</v>
      </c>
      <c r="AL43" s="24">
        <f t="shared" si="59"/>
        <v>0</v>
      </c>
      <c r="AN43" s="24">
        <v>21</v>
      </c>
      <c r="AO43" s="24">
        <f>G43*0</f>
        <v>0</v>
      </c>
      <c r="AP43" s="24">
        <f>G43*(1-0)</f>
        <v>0</v>
      </c>
      <c r="AQ43" s="26" t="s">
        <v>50</v>
      </c>
      <c r="AV43" s="24">
        <f t="shared" si="60"/>
        <v>0</v>
      </c>
      <c r="AW43" s="24">
        <f t="shared" si="61"/>
        <v>0</v>
      </c>
      <c r="AX43" s="24">
        <f t="shared" si="62"/>
        <v>0</v>
      </c>
      <c r="AY43" s="26" t="s">
        <v>133</v>
      </c>
      <c r="AZ43" s="26" t="s">
        <v>133</v>
      </c>
      <c r="BA43" s="10" t="s">
        <v>55</v>
      </c>
      <c r="BC43" s="24">
        <f t="shared" si="63"/>
        <v>0</v>
      </c>
      <c r="BD43" s="24">
        <f t="shared" si="64"/>
        <v>0</v>
      </c>
      <c r="BE43" s="24">
        <v>0</v>
      </c>
      <c r="BF43" s="24">
        <f>43</f>
        <v>43</v>
      </c>
      <c r="BH43" s="24">
        <f t="shared" si="65"/>
        <v>0</v>
      </c>
      <c r="BI43" s="24">
        <f t="shared" si="66"/>
        <v>0</v>
      </c>
      <c r="BJ43" s="24">
        <f t="shared" si="67"/>
        <v>0</v>
      </c>
      <c r="BK43" s="26" t="s">
        <v>56</v>
      </c>
      <c r="BL43" s="24">
        <v>56</v>
      </c>
      <c r="BW43" s="24">
        <v>21</v>
      </c>
      <c r="BX43" s="4" t="s">
        <v>142</v>
      </c>
    </row>
    <row r="44" spans="1:76" x14ac:dyDescent="0.25">
      <c r="A44" s="2" t="s">
        <v>143</v>
      </c>
      <c r="B44" s="3" t="s">
        <v>144</v>
      </c>
      <c r="C44" s="71" t="s">
        <v>145</v>
      </c>
      <c r="D44" s="66"/>
      <c r="E44" s="3" t="s">
        <v>62</v>
      </c>
      <c r="F44" s="24">
        <v>196.7</v>
      </c>
      <c r="G44" s="60">
        <v>0</v>
      </c>
      <c r="H44" s="24">
        <f t="shared" si="46"/>
        <v>0</v>
      </c>
      <c r="I44" s="24">
        <f t="shared" si="47"/>
        <v>0</v>
      </c>
      <c r="J44" s="24">
        <f t="shared" si="48"/>
        <v>0</v>
      </c>
      <c r="K44" s="25" t="s">
        <v>63</v>
      </c>
      <c r="Z44" s="24">
        <f t="shared" si="49"/>
        <v>0</v>
      </c>
      <c r="AB44" s="24">
        <f t="shared" si="50"/>
        <v>0</v>
      </c>
      <c r="AC44" s="24">
        <f t="shared" si="51"/>
        <v>0</v>
      </c>
      <c r="AD44" s="24">
        <f t="shared" si="52"/>
        <v>0</v>
      </c>
      <c r="AE44" s="24">
        <f t="shared" si="53"/>
        <v>0</v>
      </c>
      <c r="AF44" s="24">
        <f t="shared" si="54"/>
        <v>0</v>
      </c>
      <c r="AG44" s="24">
        <f t="shared" si="55"/>
        <v>0</v>
      </c>
      <c r="AH44" s="24">
        <f t="shared" si="56"/>
        <v>0</v>
      </c>
      <c r="AI44" s="10" t="s">
        <v>47</v>
      </c>
      <c r="AJ44" s="24">
        <f t="shared" si="57"/>
        <v>0</v>
      </c>
      <c r="AK44" s="24">
        <f t="shared" si="58"/>
        <v>0</v>
      </c>
      <c r="AL44" s="24">
        <f t="shared" si="59"/>
        <v>0</v>
      </c>
      <c r="AN44" s="24">
        <v>21</v>
      </c>
      <c r="AO44" s="24">
        <f>G44*1</f>
        <v>0</v>
      </c>
      <c r="AP44" s="24">
        <f>G44*(1-1)</f>
        <v>0</v>
      </c>
      <c r="AQ44" s="26" t="s">
        <v>50</v>
      </c>
      <c r="AV44" s="24">
        <f t="shared" si="60"/>
        <v>0</v>
      </c>
      <c r="AW44" s="24">
        <f t="shared" si="61"/>
        <v>0</v>
      </c>
      <c r="AX44" s="24">
        <f t="shared" si="62"/>
        <v>0</v>
      </c>
      <c r="AY44" s="26" t="s">
        <v>133</v>
      </c>
      <c r="AZ44" s="26" t="s">
        <v>133</v>
      </c>
      <c r="BA44" s="10" t="s">
        <v>55</v>
      </c>
      <c r="BC44" s="24">
        <f t="shared" si="63"/>
        <v>0</v>
      </c>
      <c r="BD44" s="24">
        <f t="shared" si="64"/>
        <v>0</v>
      </c>
      <c r="BE44" s="24">
        <v>0</v>
      </c>
      <c r="BF44" s="24">
        <f>44</f>
        <v>44</v>
      </c>
      <c r="BH44" s="24">
        <f t="shared" si="65"/>
        <v>0</v>
      </c>
      <c r="BI44" s="24">
        <f t="shared" si="66"/>
        <v>0</v>
      </c>
      <c r="BJ44" s="24">
        <f t="shared" si="67"/>
        <v>0</v>
      </c>
      <c r="BK44" s="26" t="s">
        <v>117</v>
      </c>
      <c r="BL44" s="24">
        <v>56</v>
      </c>
      <c r="BW44" s="24">
        <v>21</v>
      </c>
      <c r="BX44" s="4" t="s">
        <v>145</v>
      </c>
    </row>
    <row r="45" spans="1:76" x14ac:dyDescent="0.25">
      <c r="A45" s="2" t="s">
        <v>146</v>
      </c>
      <c r="B45" s="3" t="s">
        <v>147</v>
      </c>
      <c r="C45" s="71" t="s">
        <v>148</v>
      </c>
      <c r="D45" s="66"/>
      <c r="E45" s="3" t="s">
        <v>62</v>
      </c>
      <c r="F45" s="24">
        <v>37.6</v>
      </c>
      <c r="G45" s="60">
        <v>0</v>
      </c>
      <c r="H45" s="24">
        <f t="shared" si="46"/>
        <v>0</v>
      </c>
      <c r="I45" s="24">
        <f t="shared" si="47"/>
        <v>0</v>
      </c>
      <c r="J45" s="24">
        <f t="shared" si="48"/>
        <v>0</v>
      </c>
      <c r="K45" s="25" t="s">
        <v>63</v>
      </c>
      <c r="Z45" s="24">
        <f t="shared" si="49"/>
        <v>0</v>
      </c>
      <c r="AB45" s="24">
        <f t="shared" si="50"/>
        <v>0</v>
      </c>
      <c r="AC45" s="24">
        <f t="shared" si="51"/>
        <v>0</v>
      </c>
      <c r="AD45" s="24">
        <f t="shared" si="52"/>
        <v>0</v>
      </c>
      <c r="AE45" s="24">
        <f t="shared" si="53"/>
        <v>0</v>
      </c>
      <c r="AF45" s="24">
        <f t="shared" si="54"/>
        <v>0</v>
      </c>
      <c r="AG45" s="24">
        <f t="shared" si="55"/>
        <v>0</v>
      </c>
      <c r="AH45" s="24">
        <f t="shared" si="56"/>
        <v>0</v>
      </c>
      <c r="AI45" s="10" t="s">
        <v>47</v>
      </c>
      <c r="AJ45" s="24">
        <f t="shared" si="57"/>
        <v>0</v>
      </c>
      <c r="AK45" s="24">
        <f t="shared" si="58"/>
        <v>0</v>
      </c>
      <c r="AL45" s="24">
        <f t="shared" si="59"/>
        <v>0</v>
      </c>
      <c r="AN45" s="24">
        <v>21</v>
      </c>
      <c r="AO45" s="24">
        <f>G45*0.656784588</f>
        <v>0</v>
      </c>
      <c r="AP45" s="24">
        <f>G45*(1-0.656784588)</f>
        <v>0</v>
      </c>
      <c r="AQ45" s="26" t="s">
        <v>50</v>
      </c>
      <c r="AV45" s="24">
        <f t="shared" si="60"/>
        <v>0</v>
      </c>
      <c r="AW45" s="24">
        <f t="shared" si="61"/>
        <v>0</v>
      </c>
      <c r="AX45" s="24">
        <f t="shared" si="62"/>
        <v>0</v>
      </c>
      <c r="AY45" s="26" t="s">
        <v>133</v>
      </c>
      <c r="AZ45" s="26" t="s">
        <v>133</v>
      </c>
      <c r="BA45" s="10" t="s">
        <v>55</v>
      </c>
      <c r="BC45" s="24">
        <f t="shared" si="63"/>
        <v>0</v>
      </c>
      <c r="BD45" s="24">
        <f t="shared" si="64"/>
        <v>0</v>
      </c>
      <c r="BE45" s="24">
        <v>0</v>
      </c>
      <c r="BF45" s="24">
        <f>45</f>
        <v>45</v>
      </c>
      <c r="BH45" s="24">
        <f t="shared" si="65"/>
        <v>0</v>
      </c>
      <c r="BI45" s="24">
        <f t="shared" si="66"/>
        <v>0</v>
      </c>
      <c r="BJ45" s="24">
        <f t="shared" si="67"/>
        <v>0</v>
      </c>
      <c r="BK45" s="26" t="s">
        <v>56</v>
      </c>
      <c r="BL45" s="24">
        <v>56</v>
      </c>
      <c r="BW45" s="24">
        <v>21</v>
      </c>
      <c r="BX45" s="4" t="s">
        <v>148</v>
      </c>
    </row>
    <row r="46" spans="1:76" x14ac:dyDescent="0.25">
      <c r="A46" s="27" t="s">
        <v>47</v>
      </c>
      <c r="B46" s="28" t="s">
        <v>149</v>
      </c>
      <c r="C46" s="89" t="s">
        <v>150</v>
      </c>
      <c r="D46" s="90"/>
      <c r="E46" s="29" t="s">
        <v>28</v>
      </c>
      <c r="F46" s="29" t="s">
        <v>28</v>
      </c>
      <c r="G46" s="29" t="s">
        <v>28</v>
      </c>
      <c r="H46" s="1">
        <f>ROUND(SUM(H47:H48),2)</f>
        <v>0</v>
      </c>
      <c r="I46" s="1">
        <f>ROUND(SUM(I47:I48),2)</f>
        <v>0</v>
      </c>
      <c r="J46" s="1">
        <f>ROUND(SUM(J47:J48),2)</f>
        <v>0</v>
      </c>
      <c r="K46" s="30" t="s">
        <v>47</v>
      </c>
      <c r="AI46" s="10" t="s">
        <v>47</v>
      </c>
      <c r="AS46" s="1">
        <f>SUM(AJ47:AJ48)</f>
        <v>0</v>
      </c>
      <c r="AT46" s="1">
        <f>SUM(AK47:AK48)</f>
        <v>0</v>
      </c>
      <c r="AU46" s="1">
        <f>SUM(AL47:AL48)</f>
        <v>0</v>
      </c>
    </row>
    <row r="47" spans="1:76" x14ac:dyDescent="0.25">
      <c r="A47" s="2" t="s">
        <v>151</v>
      </c>
      <c r="B47" s="3" t="s">
        <v>152</v>
      </c>
      <c r="C47" s="71" t="s">
        <v>153</v>
      </c>
      <c r="D47" s="66"/>
      <c r="E47" s="3" t="s">
        <v>62</v>
      </c>
      <c r="F47" s="24">
        <v>196.7</v>
      </c>
      <c r="G47" s="60">
        <v>0</v>
      </c>
      <c r="H47" s="24">
        <f>ROUND(F47*AO47,2)</f>
        <v>0</v>
      </c>
      <c r="I47" s="24">
        <f>ROUND(F47*AP47,2)</f>
        <v>0</v>
      </c>
      <c r="J47" s="24">
        <f>ROUND(F47*G47,2)</f>
        <v>0</v>
      </c>
      <c r="K47" s="25" t="s">
        <v>63</v>
      </c>
      <c r="Z47" s="24">
        <f>ROUND(IF(AQ47="5",BJ47,0),2)</f>
        <v>0</v>
      </c>
      <c r="AB47" s="24">
        <f>ROUND(IF(AQ47="1",BH47,0),2)</f>
        <v>0</v>
      </c>
      <c r="AC47" s="24">
        <f>ROUND(IF(AQ47="1",BI47,0),2)</f>
        <v>0</v>
      </c>
      <c r="AD47" s="24">
        <f>ROUND(IF(AQ47="7",BH47,0),2)</f>
        <v>0</v>
      </c>
      <c r="AE47" s="24">
        <f>ROUND(IF(AQ47="7",BI47,0),2)</f>
        <v>0</v>
      </c>
      <c r="AF47" s="24">
        <f>ROUND(IF(AQ47="2",BH47,0),2)</f>
        <v>0</v>
      </c>
      <c r="AG47" s="24">
        <f>ROUND(IF(AQ47="2",BI47,0),2)</f>
        <v>0</v>
      </c>
      <c r="AH47" s="24">
        <f>ROUND(IF(AQ47="0",BJ47,0),2)</f>
        <v>0</v>
      </c>
      <c r="AI47" s="10" t="s">
        <v>47</v>
      </c>
      <c r="AJ47" s="24">
        <f>IF(AN47=0,J47,0)</f>
        <v>0</v>
      </c>
      <c r="AK47" s="24">
        <f>IF(AN47=12,J47,0)</f>
        <v>0</v>
      </c>
      <c r="AL47" s="24">
        <f>IF(AN47=21,J47,0)</f>
        <v>0</v>
      </c>
      <c r="AN47" s="24">
        <v>21</v>
      </c>
      <c r="AO47" s="24">
        <f>G47*0.100568428</f>
        <v>0</v>
      </c>
      <c r="AP47" s="24">
        <f>G47*(1-0.100568428)</f>
        <v>0</v>
      </c>
      <c r="AQ47" s="26" t="s">
        <v>50</v>
      </c>
      <c r="AV47" s="24">
        <f>ROUND(AW47+AX47,2)</f>
        <v>0</v>
      </c>
      <c r="AW47" s="24">
        <f>ROUND(F47*AO47,2)</f>
        <v>0</v>
      </c>
      <c r="AX47" s="24">
        <f>ROUND(F47*AP47,2)</f>
        <v>0</v>
      </c>
      <c r="AY47" s="26" t="s">
        <v>154</v>
      </c>
      <c r="AZ47" s="26" t="s">
        <v>154</v>
      </c>
      <c r="BA47" s="10" t="s">
        <v>55</v>
      </c>
      <c r="BC47" s="24">
        <f>AW47+AX47</f>
        <v>0</v>
      </c>
      <c r="BD47" s="24">
        <f>G47/(100-BE47)*100</f>
        <v>0</v>
      </c>
      <c r="BE47" s="24">
        <v>0</v>
      </c>
      <c r="BF47" s="24">
        <f>47</f>
        <v>47</v>
      </c>
      <c r="BH47" s="24">
        <f>F47*AO47</f>
        <v>0</v>
      </c>
      <c r="BI47" s="24">
        <f>F47*AP47</f>
        <v>0</v>
      </c>
      <c r="BJ47" s="24">
        <f>F47*G47</f>
        <v>0</v>
      </c>
      <c r="BK47" s="26" t="s">
        <v>56</v>
      </c>
      <c r="BL47" s="24">
        <v>59</v>
      </c>
      <c r="BW47" s="24">
        <v>21</v>
      </c>
      <c r="BX47" s="4" t="s">
        <v>153</v>
      </c>
    </row>
    <row r="48" spans="1:76" ht="25.5" x14ac:dyDescent="0.25">
      <c r="A48" s="2" t="s">
        <v>155</v>
      </c>
      <c r="B48" s="3" t="s">
        <v>156</v>
      </c>
      <c r="C48" s="71" t="s">
        <v>157</v>
      </c>
      <c r="D48" s="66"/>
      <c r="E48" s="3" t="s">
        <v>62</v>
      </c>
      <c r="F48" s="24">
        <v>196.7</v>
      </c>
      <c r="G48" s="60">
        <v>0</v>
      </c>
      <c r="H48" s="24">
        <f>ROUND(F48*AO48,2)</f>
        <v>0</v>
      </c>
      <c r="I48" s="24">
        <f>ROUND(F48*AP48,2)</f>
        <v>0</v>
      </c>
      <c r="J48" s="24">
        <f>ROUND(F48*G48,2)</f>
        <v>0</v>
      </c>
      <c r="K48" s="25" t="s">
        <v>63</v>
      </c>
      <c r="Z48" s="24">
        <f>ROUND(IF(AQ48="5",BJ48,0),2)</f>
        <v>0</v>
      </c>
      <c r="AB48" s="24">
        <f>ROUND(IF(AQ48="1",BH48,0),2)</f>
        <v>0</v>
      </c>
      <c r="AC48" s="24">
        <f>ROUND(IF(AQ48="1",BI48,0),2)</f>
        <v>0</v>
      </c>
      <c r="AD48" s="24">
        <f>ROUND(IF(AQ48="7",BH48,0),2)</f>
        <v>0</v>
      </c>
      <c r="AE48" s="24">
        <f>ROUND(IF(AQ48="7",BI48,0),2)</f>
        <v>0</v>
      </c>
      <c r="AF48" s="24">
        <f>ROUND(IF(AQ48="2",BH48,0),2)</f>
        <v>0</v>
      </c>
      <c r="AG48" s="24">
        <f>ROUND(IF(AQ48="2",BI48,0),2)</f>
        <v>0</v>
      </c>
      <c r="AH48" s="24">
        <f>ROUND(IF(AQ48="0",BJ48,0),2)</f>
        <v>0</v>
      </c>
      <c r="AI48" s="10" t="s">
        <v>47</v>
      </c>
      <c r="AJ48" s="24">
        <f>IF(AN48=0,J48,0)</f>
        <v>0</v>
      </c>
      <c r="AK48" s="24">
        <f>IF(AN48=12,J48,0)</f>
        <v>0</v>
      </c>
      <c r="AL48" s="24">
        <f>IF(AN48=21,J48,0)</f>
        <v>0</v>
      </c>
      <c r="AN48" s="24">
        <v>21</v>
      </c>
      <c r="AO48" s="24">
        <f>G48*1</f>
        <v>0</v>
      </c>
      <c r="AP48" s="24">
        <f>G48*(1-1)</f>
        <v>0</v>
      </c>
      <c r="AQ48" s="26" t="s">
        <v>50</v>
      </c>
      <c r="AV48" s="24">
        <f>ROUND(AW48+AX48,2)</f>
        <v>0</v>
      </c>
      <c r="AW48" s="24">
        <f>ROUND(F48*AO48,2)</f>
        <v>0</v>
      </c>
      <c r="AX48" s="24">
        <f>ROUND(F48*AP48,2)</f>
        <v>0</v>
      </c>
      <c r="AY48" s="26" t="s">
        <v>154</v>
      </c>
      <c r="AZ48" s="26" t="s">
        <v>154</v>
      </c>
      <c r="BA48" s="10" t="s">
        <v>55</v>
      </c>
      <c r="BC48" s="24">
        <f>AW48+AX48</f>
        <v>0</v>
      </c>
      <c r="BD48" s="24">
        <f>G48/(100-BE48)*100</f>
        <v>0</v>
      </c>
      <c r="BE48" s="24">
        <v>0</v>
      </c>
      <c r="BF48" s="24">
        <f>48</f>
        <v>48</v>
      </c>
      <c r="BH48" s="24">
        <f>F48*AO48</f>
        <v>0</v>
      </c>
      <c r="BI48" s="24">
        <f>F48*AP48</f>
        <v>0</v>
      </c>
      <c r="BJ48" s="24">
        <f>F48*G48</f>
        <v>0</v>
      </c>
      <c r="BK48" s="26" t="s">
        <v>117</v>
      </c>
      <c r="BL48" s="24">
        <v>59</v>
      </c>
      <c r="BW48" s="24">
        <v>21</v>
      </c>
      <c r="BX48" s="4" t="s">
        <v>157</v>
      </c>
    </row>
    <row r="49" spans="1:76" x14ac:dyDescent="0.25">
      <c r="A49" s="27" t="s">
        <v>47</v>
      </c>
      <c r="B49" s="28" t="s">
        <v>158</v>
      </c>
      <c r="C49" s="89" t="s">
        <v>159</v>
      </c>
      <c r="D49" s="90"/>
      <c r="E49" s="29" t="s">
        <v>28</v>
      </c>
      <c r="F49" s="29" t="s">
        <v>28</v>
      </c>
      <c r="G49" s="29" t="s">
        <v>28</v>
      </c>
      <c r="H49" s="1">
        <f>ROUND(SUM(H50:H54),2)</f>
        <v>0</v>
      </c>
      <c r="I49" s="1">
        <f>ROUND(SUM(I50:I54),2)</f>
        <v>0</v>
      </c>
      <c r="J49" s="1">
        <f>ROUND(SUM(J50:J54),2)</f>
        <v>0</v>
      </c>
      <c r="K49" s="30" t="s">
        <v>47</v>
      </c>
      <c r="AI49" s="10" t="s">
        <v>47</v>
      </c>
      <c r="AS49" s="1">
        <f>SUM(AJ50:AJ54)</f>
        <v>0</v>
      </c>
      <c r="AT49" s="1">
        <f>SUM(AK50:AK54)</f>
        <v>0</v>
      </c>
      <c r="AU49" s="1">
        <f>SUM(AL50:AL54)</f>
        <v>0</v>
      </c>
    </row>
    <row r="50" spans="1:76" x14ac:dyDescent="0.25">
      <c r="A50" s="2" t="s">
        <v>160</v>
      </c>
      <c r="B50" s="3" t="s">
        <v>161</v>
      </c>
      <c r="C50" s="71" t="s">
        <v>162</v>
      </c>
      <c r="D50" s="66"/>
      <c r="E50" s="3" t="s">
        <v>68</v>
      </c>
      <c r="F50" s="24">
        <v>75.2</v>
      </c>
      <c r="G50" s="60">
        <v>0</v>
      </c>
      <c r="H50" s="24">
        <f>ROUND(F50*AO50,2)</f>
        <v>0</v>
      </c>
      <c r="I50" s="24">
        <f>ROUND(F50*AP50,2)</f>
        <v>0</v>
      </c>
      <c r="J50" s="24">
        <f>ROUND(F50*G50,2)</f>
        <v>0</v>
      </c>
      <c r="K50" s="25" t="s">
        <v>63</v>
      </c>
      <c r="Z50" s="24">
        <f>ROUND(IF(AQ50="5",BJ50,0),2)</f>
        <v>0</v>
      </c>
      <c r="AB50" s="24">
        <f>ROUND(IF(AQ50="1",BH50,0),2)</f>
        <v>0</v>
      </c>
      <c r="AC50" s="24">
        <f>ROUND(IF(AQ50="1",BI50,0),2)</f>
        <v>0</v>
      </c>
      <c r="AD50" s="24">
        <f>ROUND(IF(AQ50="7",BH50,0),2)</f>
        <v>0</v>
      </c>
      <c r="AE50" s="24">
        <f>ROUND(IF(AQ50="7",BI50,0),2)</f>
        <v>0</v>
      </c>
      <c r="AF50" s="24">
        <f>ROUND(IF(AQ50="2",BH50,0),2)</f>
        <v>0</v>
      </c>
      <c r="AG50" s="24">
        <f>ROUND(IF(AQ50="2",BI50,0),2)</f>
        <v>0</v>
      </c>
      <c r="AH50" s="24">
        <f>ROUND(IF(AQ50="0",BJ50,0),2)</f>
        <v>0</v>
      </c>
      <c r="AI50" s="10" t="s">
        <v>47</v>
      </c>
      <c r="AJ50" s="24">
        <f>IF(AN50=0,J50,0)</f>
        <v>0</v>
      </c>
      <c r="AK50" s="24">
        <f>IF(AN50=12,J50,0)</f>
        <v>0</v>
      </c>
      <c r="AL50" s="24">
        <f>IF(AN50=21,J50,0)</f>
        <v>0</v>
      </c>
      <c r="AN50" s="24">
        <v>21</v>
      </c>
      <c r="AO50" s="24">
        <f>G50*0.565863757</f>
        <v>0</v>
      </c>
      <c r="AP50" s="24">
        <f>G50*(1-0.565863757)</f>
        <v>0</v>
      </c>
      <c r="AQ50" s="26" t="s">
        <v>50</v>
      </c>
      <c r="AV50" s="24">
        <f>ROUND(AW50+AX50,2)</f>
        <v>0</v>
      </c>
      <c r="AW50" s="24">
        <f>ROUND(F50*AO50,2)</f>
        <v>0</v>
      </c>
      <c r="AX50" s="24">
        <f>ROUND(F50*AP50,2)</f>
        <v>0</v>
      </c>
      <c r="AY50" s="26" t="s">
        <v>163</v>
      </c>
      <c r="AZ50" s="26" t="s">
        <v>163</v>
      </c>
      <c r="BA50" s="10" t="s">
        <v>55</v>
      </c>
      <c r="BC50" s="24">
        <f>AW50+AX50</f>
        <v>0</v>
      </c>
      <c r="BD50" s="24">
        <f>G50/(100-BE50)*100</f>
        <v>0</v>
      </c>
      <c r="BE50" s="24">
        <v>0</v>
      </c>
      <c r="BF50" s="24">
        <f>50</f>
        <v>50</v>
      </c>
      <c r="BH50" s="24">
        <f>F50*AO50</f>
        <v>0</v>
      </c>
      <c r="BI50" s="24">
        <f>F50*AP50</f>
        <v>0</v>
      </c>
      <c r="BJ50" s="24">
        <f>F50*G50</f>
        <v>0</v>
      </c>
      <c r="BK50" s="26" t="s">
        <v>56</v>
      </c>
      <c r="BL50" s="24">
        <v>91</v>
      </c>
      <c r="BW50" s="24">
        <v>21</v>
      </c>
      <c r="BX50" s="4" t="s">
        <v>162</v>
      </c>
    </row>
    <row r="51" spans="1:76" x14ac:dyDescent="0.25">
      <c r="A51" s="2" t="s">
        <v>164</v>
      </c>
      <c r="B51" s="3" t="s">
        <v>165</v>
      </c>
      <c r="C51" s="71" t="s">
        <v>166</v>
      </c>
      <c r="D51" s="66"/>
      <c r="E51" s="3" t="s">
        <v>53</v>
      </c>
      <c r="F51" s="24">
        <v>75.2</v>
      </c>
      <c r="G51" s="60">
        <v>0</v>
      </c>
      <c r="H51" s="24">
        <f>ROUND(F51*AO51,2)</f>
        <v>0</v>
      </c>
      <c r="I51" s="24">
        <f>ROUND(F51*AP51,2)</f>
        <v>0</v>
      </c>
      <c r="J51" s="24">
        <f>ROUND(F51*G51,2)</f>
        <v>0</v>
      </c>
      <c r="K51" s="25" t="s">
        <v>63</v>
      </c>
      <c r="Z51" s="24">
        <f>ROUND(IF(AQ51="5",BJ51,0),2)</f>
        <v>0</v>
      </c>
      <c r="AB51" s="24">
        <f>ROUND(IF(AQ51="1",BH51,0),2)</f>
        <v>0</v>
      </c>
      <c r="AC51" s="24">
        <f>ROUND(IF(AQ51="1",BI51,0),2)</f>
        <v>0</v>
      </c>
      <c r="AD51" s="24">
        <f>ROUND(IF(AQ51="7",BH51,0),2)</f>
        <v>0</v>
      </c>
      <c r="AE51" s="24">
        <f>ROUND(IF(AQ51="7",BI51,0),2)</f>
        <v>0</v>
      </c>
      <c r="AF51" s="24">
        <f>ROUND(IF(AQ51="2",BH51,0),2)</f>
        <v>0</v>
      </c>
      <c r="AG51" s="24">
        <f>ROUND(IF(AQ51="2",BI51,0),2)</f>
        <v>0</v>
      </c>
      <c r="AH51" s="24">
        <f>ROUND(IF(AQ51="0",BJ51,0),2)</f>
        <v>0</v>
      </c>
      <c r="AI51" s="10" t="s">
        <v>47</v>
      </c>
      <c r="AJ51" s="24">
        <f>IF(AN51=0,J51,0)</f>
        <v>0</v>
      </c>
      <c r="AK51" s="24">
        <f>IF(AN51=12,J51,0)</f>
        <v>0</v>
      </c>
      <c r="AL51" s="24">
        <f>IF(AN51=21,J51,0)</f>
        <v>0</v>
      </c>
      <c r="AN51" s="24">
        <v>21</v>
      </c>
      <c r="AO51" s="24">
        <f>G51*1</f>
        <v>0</v>
      </c>
      <c r="AP51" s="24">
        <f>G51*(1-1)</f>
        <v>0</v>
      </c>
      <c r="AQ51" s="26" t="s">
        <v>50</v>
      </c>
      <c r="AV51" s="24">
        <f>ROUND(AW51+AX51,2)</f>
        <v>0</v>
      </c>
      <c r="AW51" s="24">
        <f>ROUND(F51*AO51,2)</f>
        <v>0</v>
      </c>
      <c r="AX51" s="24">
        <f>ROUND(F51*AP51,2)</f>
        <v>0</v>
      </c>
      <c r="AY51" s="26" t="s">
        <v>163</v>
      </c>
      <c r="AZ51" s="26" t="s">
        <v>163</v>
      </c>
      <c r="BA51" s="10" t="s">
        <v>55</v>
      </c>
      <c r="BC51" s="24">
        <f>AW51+AX51</f>
        <v>0</v>
      </c>
      <c r="BD51" s="24">
        <f>G51/(100-BE51)*100</f>
        <v>0</v>
      </c>
      <c r="BE51" s="24">
        <v>0</v>
      </c>
      <c r="BF51" s="24">
        <f>51</f>
        <v>51</v>
      </c>
      <c r="BH51" s="24">
        <f>F51*AO51</f>
        <v>0</v>
      </c>
      <c r="BI51" s="24">
        <f>F51*AP51</f>
        <v>0</v>
      </c>
      <c r="BJ51" s="24">
        <f>F51*G51</f>
        <v>0</v>
      </c>
      <c r="BK51" s="26" t="s">
        <v>117</v>
      </c>
      <c r="BL51" s="24">
        <v>91</v>
      </c>
      <c r="BW51" s="24">
        <v>21</v>
      </c>
      <c r="BX51" s="4" t="s">
        <v>166</v>
      </c>
    </row>
    <row r="52" spans="1:76" x14ac:dyDescent="0.25">
      <c r="A52" s="2" t="s">
        <v>167</v>
      </c>
      <c r="B52" s="3" t="s">
        <v>168</v>
      </c>
      <c r="C52" s="71" t="s">
        <v>169</v>
      </c>
      <c r="D52" s="66"/>
      <c r="E52" s="3" t="s">
        <v>68</v>
      </c>
      <c r="F52" s="24">
        <v>6.7</v>
      </c>
      <c r="G52" s="60">
        <v>0</v>
      </c>
      <c r="H52" s="24">
        <f>ROUND(F52*AO52,2)</f>
        <v>0</v>
      </c>
      <c r="I52" s="24">
        <f>ROUND(F52*AP52,2)</f>
        <v>0</v>
      </c>
      <c r="J52" s="24">
        <f>ROUND(F52*G52,2)</f>
        <v>0</v>
      </c>
      <c r="K52" s="25" t="s">
        <v>63</v>
      </c>
      <c r="Z52" s="24">
        <f>ROUND(IF(AQ52="5",BJ52,0),2)</f>
        <v>0</v>
      </c>
      <c r="AB52" s="24">
        <f>ROUND(IF(AQ52="1",BH52,0),2)</f>
        <v>0</v>
      </c>
      <c r="AC52" s="24">
        <f>ROUND(IF(AQ52="1",BI52,0),2)</f>
        <v>0</v>
      </c>
      <c r="AD52" s="24">
        <f>ROUND(IF(AQ52="7",BH52,0),2)</f>
        <v>0</v>
      </c>
      <c r="AE52" s="24">
        <f>ROUND(IF(AQ52="7",BI52,0),2)</f>
        <v>0</v>
      </c>
      <c r="AF52" s="24">
        <f>ROUND(IF(AQ52="2",BH52,0),2)</f>
        <v>0</v>
      </c>
      <c r="AG52" s="24">
        <f>ROUND(IF(AQ52="2",BI52,0),2)</f>
        <v>0</v>
      </c>
      <c r="AH52" s="24">
        <f>ROUND(IF(AQ52="0",BJ52,0),2)</f>
        <v>0</v>
      </c>
      <c r="AI52" s="10" t="s">
        <v>47</v>
      </c>
      <c r="AJ52" s="24">
        <f>IF(AN52=0,J52,0)</f>
        <v>0</v>
      </c>
      <c r="AK52" s="24">
        <f>IF(AN52=12,J52,0)</f>
        <v>0</v>
      </c>
      <c r="AL52" s="24">
        <f>IF(AN52=21,J52,0)</f>
        <v>0</v>
      </c>
      <c r="AN52" s="24">
        <v>21</v>
      </c>
      <c r="AO52" s="24">
        <f>G52*0.145493905</f>
        <v>0</v>
      </c>
      <c r="AP52" s="24">
        <f>G52*(1-0.145493905)</f>
        <v>0</v>
      </c>
      <c r="AQ52" s="26" t="s">
        <v>50</v>
      </c>
      <c r="AV52" s="24">
        <f>ROUND(AW52+AX52,2)</f>
        <v>0</v>
      </c>
      <c r="AW52" s="24">
        <f>ROUND(F52*AO52,2)</f>
        <v>0</v>
      </c>
      <c r="AX52" s="24">
        <f>ROUND(F52*AP52,2)</f>
        <v>0</v>
      </c>
      <c r="AY52" s="26" t="s">
        <v>163</v>
      </c>
      <c r="AZ52" s="26" t="s">
        <v>163</v>
      </c>
      <c r="BA52" s="10" t="s">
        <v>55</v>
      </c>
      <c r="BC52" s="24">
        <f>AW52+AX52</f>
        <v>0</v>
      </c>
      <c r="BD52" s="24">
        <f>G52/(100-BE52)*100</f>
        <v>0</v>
      </c>
      <c r="BE52" s="24">
        <v>0</v>
      </c>
      <c r="BF52" s="24">
        <f>52</f>
        <v>52</v>
      </c>
      <c r="BH52" s="24">
        <f>F52*AO52</f>
        <v>0</v>
      </c>
      <c r="BI52" s="24">
        <f>F52*AP52</f>
        <v>0</v>
      </c>
      <c r="BJ52" s="24">
        <f>F52*G52</f>
        <v>0</v>
      </c>
      <c r="BK52" s="26" t="s">
        <v>56</v>
      </c>
      <c r="BL52" s="24">
        <v>91</v>
      </c>
      <c r="BW52" s="24">
        <v>21</v>
      </c>
      <c r="BX52" s="4" t="s">
        <v>169</v>
      </c>
    </row>
    <row r="53" spans="1:76" x14ac:dyDescent="0.25">
      <c r="A53" s="2" t="s">
        <v>170</v>
      </c>
      <c r="B53" s="3" t="s">
        <v>171</v>
      </c>
      <c r="C53" s="71" t="s">
        <v>172</v>
      </c>
      <c r="D53" s="66"/>
      <c r="E53" s="3" t="s">
        <v>173</v>
      </c>
      <c r="F53" s="24">
        <v>4.2999999999999997E-2</v>
      </c>
      <c r="G53" s="60">
        <v>0</v>
      </c>
      <c r="H53" s="24">
        <f>ROUND(F53*AO53,2)</f>
        <v>0</v>
      </c>
      <c r="I53" s="24">
        <f>ROUND(F53*AP53,2)</f>
        <v>0</v>
      </c>
      <c r="J53" s="24">
        <f>ROUND(F53*G53,2)</f>
        <v>0</v>
      </c>
      <c r="K53" s="25" t="s">
        <v>63</v>
      </c>
      <c r="Z53" s="24">
        <f>ROUND(IF(AQ53="5",BJ53,0),2)</f>
        <v>0</v>
      </c>
      <c r="AB53" s="24">
        <f>ROUND(IF(AQ53="1",BH53,0),2)</f>
        <v>0</v>
      </c>
      <c r="AC53" s="24">
        <f>ROUND(IF(AQ53="1",BI53,0),2)</f>
        <v>0</v>
      </c>
      <c r="AD53" s="24">
        <f>ROUND(IF(AQ53="7",BH53,0),2)</f>
        <v>0</v>
      </c>
      <c r="AE53" s="24">
        <f>ROUND(IF(AQ53="7",BI53,0),2)</f>
        <v>0</v>
      </c>
      <c r="AF53" s="24">
        <f>ROUND(IF(AQ53="2",BH53,0),2)</f>
        <v>0</v>
      </c>
      <c r="AG53" s="24">
        <f>ROUND(IF(AQ53="2",BI53,0),2)</f>
        <v>0</v>
      </c>
      <c r="AH53" s="24">
        <f>ROUND(IF(AQ53="0",BJ53,0),2)</f>
        <v>0</v>
      </c>
      <c r="AI53" s="10" t="s">
        <v>47</v>
      </c>
      <c r="AJ53" s="24">
        <f>IF(AN53=0,J53,0)</f>
        <v>0</v>
      </c>
      <c r="AK53" s="24">
        <f>IF(AN53=12,J53,0)</f>
        <v>0</v>
      </c>
      <c r="AL53" s="24">
        <f>IF(AN53=21,J53,0)</f>
        <v>0</v>
      </c>
      <c r="AN53" s="24">
        <v>21</v>
      </c>
      <c r="AO53" s="24">
        <f>G53*1</f>
        <v>0</v>
      </c>
      <c r="AP53" s="24">
        <f>G53*(1-1)</f>
        <v>0</v>
      </c>
      <c r="AQ53" s="26" t="s">
        <v>50</v>
      </c>
      <c r="AV53" s="24">
        <f>ROUND(AW53+AX53,2)</f>
        <v>0</v>
      </c>
      <c r="AW53" s="24">
        <f>ROUND(F53*AO53,2)</f>
        <v>0</v>
      </c>
      <c r="AX53" s="24">
        <f>ROUND(F53*AP53,2)</f>
        <v>0</v>
      </c>
      <c r="AY53" s="26" t="s">
        <v>163</v>
      </c>
      <c r="AZ53" s="26" t="s">
        <v>163</v>
      </c>
      <c r="BA53" s="10" t="s">
        <v>55</v>
      </c>
      <c r="BC53" s="24">
        <f>AW53+AX53</f>
        <v>0</v>
      </c>
      <c r="BD53" s="24">
        <f>G53/(100-BE53)*100</f>
        <v>0</v>
      </c>
      <c r="BE53" s="24">
        <v>0</v>
      </c>
      <c r="BF53" s="24">
        <f>53</f>
        <v>53</v>
      </c>
      <c r="BH53" s="24">
        <f>F53*AO53</f>
        <v>0</v>
      </c>
      <c r="BI53" s="24">
        <f>F53*AP53</f>
        <v>0</v>
      </c>
      <c r="BJ53" s="24">
        <f>F53*G53</f>
        <v>0</v>
      </c>
      <c r="BK53" s="26" t="s">
        <v>117</v>
      </c>
      <c r="BL53" s="24">
        <v>91</v>
      </c>
      <c r="BW53" s="24">
        <v>21</v>
      </c>
      <c r="BX53" s="4" t="s">
        <v>172</v>
      </c>
    </row>
    <row r="54" spans="1:76" x14ac:dyDescent="0.25">
      <c r="A54" s="2" t="s">
        <v>174</v>
      </c>
      <c r="B54" s="3" t="s">
        <v>175</v>
      </c>
      <c r="C54" s="71" t="s">
        <v>176</v>
      </c>
      <c r="D54" s="66"/>
      <c r="E54" s="3" t="s">
        <v>173</v>
      </c>
      <c r="F54" s="24">
        <v>1.2E-2</v>
      </c>
      <c r="G54" s="60">
        <v>0</v>
      </c>
      <c r="H54" s="24">
        <f>ROUND(F54*AO54,2)</f>
        <v>0</v>
      </c>
      <c r="I54" s="24">
        <f>ROUND(F54*AP54,2)</f>
        <v>0</v>
      </c>
      <c r="J54" s="24">
        <f>ROUND(F54*G54,2)</f>
        <v>0</v>
      </c>
      <c r="K54" s="25" t="s">
        <v>63</v>
      </c>
      <c r="Z54" s="24">
        <f>ROUND(IF(AQ54="5",BJ54,0),2)</f>
        <v>0</v>
      </c>
      <c r="AB54" s="24">
        <f>ROUND(IF(AQ54="1",BH54,0),2)</f>
        <v>0</v>
      </c>
      <c r="AC54" s="24">
        <f>ROUND(IF(AQ54="1",BI54,0),2)</f>
        <v>0</v>
      </c>
      <c r="AD54" s="24">
        <f>ROUND(IF(AQ54="7",BH54,0),2)</f>
        <v>0</v>
      </c>
      <c r="AE54" s="24">
        <f>ROUND(IF(AQ54="7",BI54,0),2)</f>
        <v>0</v>
      </c>
      <c r="AF54" s="24">
        <f>ROUND(IF(AQ54="2",BH54,0),2)</f>
        <v>0</v>
      </c>
      <c r="AG54" s="24">
        <f>ROUND(IF(AQ54="2",BI54,0),2)</f>
        <v>0</v>
      </c>
      <c r="AH54" s="24">
        <f>ROUND(IF(AQ54="0",BJ54,0),2)</f>
        <v>0</v>
      </c>
      <c r="AI54" s="10" t="s">
        <v>47</v>
      </c>
      <c r="AJ54" s="24">
        <f>IF(AN54=0,J54,0)</f>
        <v>0</v>
      </c>
      <c r="AK54" s="24">
        <f>IF(AN54=12,J54,0)</f>
        <v>0</v>
      </c>
      <c r="AL54" s="24">
        <f>IF(AN54=21,J54,0)</f>
        <v>0</v>
      </c>
      <c r="AN54" s="24">
        <v>21</v>
      </c>
      <c r="AO54" s="24">
        <f>G54*1</f>
        <v>0</v>
      </c>
      <c r="AP54" s="24">
        <f>G54*(1-1)</f>
        <v>0</v>
      </c>
      <c r="AQ54" s="26" t="s">
        <v>50</v>
      </c>
      <c r="AV54" s="24">
        <f>ROUND(AW54+AX54,2)</f>
        <v>0</v>
      </c>
      <c r="AW54" s="24">
        <f>ROUND(F54*AO54,2)</f>
        <v>0</v>
      </c>
      <c r="AX54" s="24">
        <f>ROUND(F54*AP54,2)</f>
        <v>0</v>
      </c>
      <c r="AY54" s="26" t="s">
        <v>163</v>
      </c>
      <c r="AZ54" s="26" t="s">
        <v>163</v>
      </c>
      <c r="BA54" s="10" t="s">
        <v>55</v>
      </c>
      <c r="BC54" s="24">
        <f>AW54+AX54</f>
        <v>0</v>
      </c>
      <c r="BD54" s="24">
        <f>G54/(100-BE54)*100</f>
        <v>0</v>
      </c>
      <c r="BE54" s="24">
        <v>0</v>
      </c>
      <c r="BF54" s="24">
        <f>54</f>
        <v>54</v>
      </c>
      <c r="BH54" s="24">
        <f>F54*AO54</f>
        <v>0</v>
      </c>
      <c r="BI54" s="24">
        <f>F54*AP54</f>
        <v>0</v>
      </c>
      <c r="BJ54" s="24">
        <f>F54*G54</f>
        <v>0</v>
      </c>
      <c r="BK54" s="26" t="s">
        <v>117</v>
      </c>
      <c r="BL54" s="24">
        <v>91</v>
      </c>
      <c r="BW54" s="24">
        <v>21</v>
      </c>
      <c r="BX54" s="4" t="s">
        <v>176</v>
      </c>
    </row>
    <row r="55" spans="1:76" x14ac:dyDescent="0.25">
      <c r="A55" s="27" t="s">
        <v>47</v>
      </c>
      <c r="B55" s="28" t="s">
        <v>177</v>
      </c>
      <c r="C55" s="89" t="s">
        <v>178</v>
      </c>
      <c r="D55" s="90"/>
      <c r="E55" s="29" t="s">
        <v>28</v>
      </c>
      <c r="F55" s="29" t="s">
        <v>28</v>
      </c>
      <c r="G55" s="29" t="s">
        <v>28</v>
      </c>
      <c r="H55" s="1">
        <f>ROUND(SUM(H56:H62),2)</f>
        <v>0</v>
      </c>
      <c r="I55" s="1">
        <f>ROUND(SUM(I56:I62),2)</f>
        <v>0</v>
      </c>
      <c r="J55" s="1">
        <f>ROUND(SUM(J56:J62),2)</f>
        <v>0</v>
      </c>
      <c r="K55" s="30" t="s">
        <v>47</v>
      </c>
      <c r="AI55" s="10" t="s">
        <v>47</v>
      </c>
      <c r="AS55" s="1">
        <f>SUM(AJ56:AJ62)</f>
        <v>0</v>
      </c>
      <c r="AT55" s="1">
        <f>SUM(AK56:AK62)</f>
        <v>0</v>
      </c>
      <c r="AU55" s="1">
        <f>SUM(AL56:AL62)</f>
        <v>0</v>
      </c>
    </row>
    <row r="56" spans="1:76" x14ac:dyDescent="0.25">
      <c r="A56" s="2" t="s">
        <v>179</v>
      </c>
      <c r="B56" s="3" t="s">
        <v>180</v>
      </c>
      <c r="C56" s="71" t="s">
        <v>181</v>
      </c>
      <c r="D56" s="66"/>
      <c r="E56" s="3" t="s">
        <v>173</v>
      </c>
      <c r="F56" s="24">
        <v>38.200000000000003</v>
      </c>
      <c r="G56" s="60">
        <v>0</v>
      </c>
      <c r="H56" s="24">
        <f t="shared" ref="H56:H62" si="68">ROUND(F56*AO56,2)</f>
        <v>0</v>
      </c>
      <c r="I56" s="24">
        <f t="shared" ref="I56:I62" si="69">ROUND(F56*AP56,2)</f>
        <v>0</v>
      </c>
      <c r="J56" s="24">
        <f t="shared" ref="J56:J62" si="70">ROUND(F56*G56,2)</f>
        <v>0</v>
      </c>
      <c r="K56" s="25" t="s">
        <v>63</v>
      </c>
      <c r="Z56" s="24">
        <f t="shared" ref="Z56:Z62" si="71">ROUND(IF(AQ56="5",BJ56,0),2)</f>
        <v>0</v>
      </c>
      <c r="AB56" s="24">
        <f t="shared" ref="AB56:AB62" si="72">ROUND(IF(AQ56="1",BH56,0),2)</f>
        <v>0</v>
      </c>
      <c r="AC56" s="24">
        <f t="shared" ref="AC56:AC62" si="73">ROUND(IF(AQ56="1",BI56,0),2)</f>
        <v>0</v>
      </c>
      <c r="AD56" s="24">
        <f t="shared" ref="AD56:AD62" si="74">ROUND(IF(AQ56="7",BH56,0),2)</f>
        <v>0</v>
      </c>
      <c r="AE56" s="24">
        <f t="shared" ref="AE56:AE62" si="75">ROUND(IF(AQ56="7",BI56,0),2)</f>
        <v>0</v>
      </c>
      <c r="AF56" s="24">
        <f t="shared" ref="AF56:AF62" si="76">ROUND(IF(AQ56="2",BH56,0),2)</f>
        <v>0</v>
      </c>
      <c r="AG56" s="24">
        <f t="shared" ref="AG56:AG62" si="77">ROUND(IF(AQ56="2",BI56,0),2)</f>
        <v>0</v>
      </c>
      <c r="AH56" s="24">
        <f t="shared" ref="AH56:AH62" si="78">ROUND(IF(AQ56="0",BJ56,0),2)</f>
        <v>0</v>
      </c>
      <c r="AI56" s="10" t="s">
        <v>47</v>
      </c>
      <c r="AJ56" s="24">
        <f t="shared" ref="AJ56:AJ62" si="79">IF(AN56=0,J56,0)</f>
        <v>0</v>
      </c>
      <c r="AK56" s="24">
        <f t="shared" ref="AK56:AK62" si="80">IF(AN56=12,J56,0)</f>
        <v>0</v>
      </c>
      <c r="AL56" s="24">
        <f t="shared" ref="AL56:AL62" si="81">IF(AN56=21,J56,0)</f>
        <v>0</v>
      </c>
      <c r="AN56" s="24">
        <v>21</v>
      </c>
      <c r="AO56" s="24">
        <f>G56*0.011264399</f>
        <v>0</v>
      </c>
      <c r="AP56" s="24">
        <f>G56*(1-0.011264399)</f>
        <v>0</v>
      </c>
      <c r="AQ56" s="26" t="s">
        <v>76</v>
      </c>
      <c r="AV56" s="24">
        <f t="shared" ref="AV56:AV62" si="82">ROUND(AW56+AX56,2)</f>
        <v>0</v>
      </c>
      <c r="AW56" s="24">
        <f t="shared" ref="AW56:AW62" si="83">ROUND(F56*AO56,2)</f>
        <v>0</v>
      </c>
      <c r="AX56" s="24">
        <f t="shared" ref="AX56:AX62" si="84">ROUND(F56*AP56,2)</f>
        <v>0</v>
      </c>
      <c r="AY56" s="26" t="s">
        <v>182</v>
      </c>
      <c r="AZ56" s="26" t="s">
        <v>182</v>
      </c>
      <c r="BA56" s="10" t="s">
        <v>55</v>
      </c>
      <c r="BC56" s="24">
        <f t="shared" ref="BC56:BC62" si="85">AW56+AX56</f>
        <v>0</v>
      </c>
      <c r="BD56" s="24">
        <f t="shared" ref="BD56:BD62" si="86">G56/(100-BE56)*100</f>
        <v>0</v>
      </c>
      <c r="BE56" s="24">
        <v>0</v>
      </c>
      <c r="BF56" s="24">
        <f>56</f>
        <v>56</v>
      </c>
      <c r="BH56" s="24">
        <f t="shared" ref="BH56:BH62" si="87">F56*AO56</f>
        <v>0</v>
      </c>
      <c r="BI56" s="24">
        <f t="shared" ref="BI56:BI62" si="88">F56*AP56</f>
        <v>0</v>
      </c>
      <c r="BJ56" s="24">
        <f t="shared" ref="BJ56:BJ62" si="89">F56*G56</f>
        <v>0</v>
      </c>
      <c r="BK56" s="26" t="s">
        <v>56</v>
      </c>
      <c r="BL56" s="24"/>
      <c r="BW56" s="24">
        <v>21</v>
      </c>
      <c r="BX56" s="4" t="s">
        <v>181</v>
      </c>
    </row>
    <row r="57" spans="1:76" ht="25.5" x14ac:dyDescent="0.25">
      <c r="A57" s="2" t="s">
        <v>183</v>
      </c>
      <c r="B57" s="3" t="s">
        <v>184</v>
      </c>
      <c r="C57" s="71" t="s">
        <v>185</v>
      </c>
      <c r="D57" s="66"/>
      <c r="E57" s="3" t="s">
        <v>173</v>
      </c>
      <c r="F57" s="24">
        <v>802.2</v>
      </c>
      <c r="G57" s="60">
        <v>0</v>
      </c>
      <c r="H57" s="24">
        <f t="shared" si="68"/>
        <v>0</v>
      </c>
      <c r="I57" s="24">
        <f t="shared" si="69"/>
        <v>0</v>
      </c>
      <c r="J57" s="24">
        <f t="shared" si="70"/>
        <v>0</v>
      </c>
      <c r="K57" s="25" t="s">
        <v>63</v>
      </c>
      <c r="Z57" s="24">
        <f t="shared" si="71"/>
        <v>0</v>
      </c>
      <c r="AB57" s="24">
        <f t="shared" si="72"/>
        <v>0</v>
      </c>
      <c r="AC57" s="24">
        <f t="shared" si="73"/>
        <v>0</v>
      </c>
      <c r="AD57" s="24">
        <f t="shared" si="74"/>
        <v>0</v>
      </c>
      <c r="AE57" s="24">
        <f t="shared" si="75"/>
        <v>0</v>
      </c>
      <c r="AF57" s="24">
        <f t="shared" si="76"/>
        <v>0</v>
      </c>
      <c r="AG57" s="24">
        <f t="shared" si="77"/>
        <v>0</v>
      </c>
      <c r="AH57" s="24">
        <f t="shared" si="78"/>
        <v>0</v>
      </c>
      <c r="AI57" s="10" t="s">
        <v>47</v>
      </c>
      <c r="AJ57" s="24">
        <f t="shared" si="79"/>
        <v>0</v>
      </c>
      <c r="AK57" s="24">
        <f t="shared" si="80"/>
        <v>0</v>
      </c>
      <c r="AL57" s="24">
        <f t="shared" si="81"/>
        <v>0</v>
      </c>
      <c r="AN57" s="24">
        <v>21</v>
      </c>
      <c r="AO57" s="24">
        <f>G57*0</f>
        <v>0</v>
      </c>
      <c r="AP57" s="24">
        <f>G57*(1-0)</f>
        <v>0</v>
      </c>
      <c r="AQ57" s="26" t="s">
        <v>76</v>
      </c>
      <c r="AV57" s="24">
        <f t="shared" si="82"/>
        <v>0</v>
      </c>
      <c r="AW57" s="24">
        <f t="shared" si="83"/>
        <v>0</v>
      </c>
      <c r="AX57" s="24">
        <f t="shared" si="84"/>
        <v>0</v>
      </c>
      <c r="AY57" s="26" t="s">
        <v>182</v>
      </c>
      <c r="AZ57" s="26" t="s">
        <v>182</v>
      </c>
      <c r="BA57" s="10" t="s">
        <v>55</v>
      </c>
      <c r="BC57" s="24">
        <f t="shared" si="85"/>
        <v>0</v>
      </c>
      <c r="BD57" s="24">
        <f t="shared" si="86"/>
        <v>0</v>
      </c>
      <c r="BE57" s="24">
        <v>0</v>
      </c>
      <c r="BF57" s="24">
        <f>57</f>
        <v>57</v>
      </c>
      <c r="BH57" s="24">
        <f t="shared" si="87"/>
        <v>0</v>
      </c>
      <c r="BI57" s="24">
        <f t="shared" si="88"/>
        <v>0</v>
      </c>
      <c r="BJ57" s="24">
        <f t="shared" si="89"/>
        <v>0</v>
      </c>
      <c r="BK57" s="26" t="s">
        <v>56</v>
      </c>
      <c r="BL57" s="24"/>
      <c r="BW57" s="24">
        <v>21</v>
      </c>
      <c r="BX57" s="4" t="s">
        <v>185</v>
      </c>
    </row>
    <row r="58" spans="1:76" x14ac:dyDescent="0.25">
      <c r="A58" s="2" t="s">
        <v>186</v>
      </c>
      <c r="B58" s="3" t="s">
        <v>187</v>
      </c>
      <c r="C58" s="71" t="s">
        <v>188</v>
      </c>
      <c r="D58" s="66"/>
      <c r="E58" s="3" t="s">
        <v>173</v>
      </c>
      <c r="F58" s="24">
        <v>38.200000000000003</v>
      </c>
      <c r="G58" s="60">
        <v>0</v>
      </c>
      <c r="H58" s="24">
        <f t="shared" si="68"/>
        <v>0</v>
      </c>
      <c r="I58" s="24">
        <f t="shared" si="69"/>
        <v>0</v>
      </c>
      <c r="J58" s="24">
        <f t="shared" si="70"/>
        <v>0</v>
      </c>
      <c r="K58" s="25" t="s">
        <v>63</v>
      </c>
      <c r="Z58" s="24">
        <f t="shared" si="71"/>
        <v>0</v>
      </c>
      <c r="AB58" s="24">
        <f t="shared" si="72"/>
        <v>0</v>
      </c>
      <c r="AC58" s="24">
        <f t="shared" si="73"/>
        <v>0</v>
      </c>
      <c r="AD58" s="24">
        <f t="shared" si="74"/>
        <v>0</v>
      </c>
      <c r="AE58" s="24">
        <f t="shared" si="75"/>
        <v>0</v>
      </c>
      <c r="AF58" s="24">
        <f t="shared" si="76"/>
        <v>0</v>
      </c>
      <c r="AG58" s="24">
        <f t="shared" si="77"/>
        <v>0</v>
      </c>
      <c r="AH58" s="24">
        <f t="shared" si="78"/>
        <v>0</v>
      </c>
      <c r="AI58" s="10" t="s">
        <v>47</v>
      </c>
      <c r="AJ58" s="24">
        <f t="shared" si="79"/>
        <v>0</v>
      </c>
      <c r="AK58" s="24">
        <f t="shared" si="80"/>
        <v>0</v>
      </c>
      <c r="AL58" s="24">
        <f t="shared" si="81"/>
        <v>0</v>
      </c>
      <c r="AN58" s="24">
        <v>21</v>
      </c>
      <c r="AO58" s="24">
        <f>G58*0</f>
        <v>0</v>
      </c>
      <c r="AP58" s="24">
        <f>G58*(1-0)</f>
        <v>0</v>
      </c>
      <c r="AQ58" s="26" t="s">
        <v>76</v>
      </c>
      <c r="AV58" s="24">
        <f t="shared" si="82"/>
        <v>0</v>
      </c>
      <c r="AW58" s="24">
        <f t="shared" si="83"/>
        <v>0</v>
      </c>
      <c r="AX58" s="24">
        <f t="shared" si="84"/>
        <v>0</v>
      </c>
      <c r="AY58" s="26" t="s">
        <v>182</v>
      </c>
      <c r="AZ58" s="26" t="s">
        <v>182</v>
      </c>
      <c r="BA58" s="10" t="s">
        <v>55</v>
      </c>
      <c r="BC58" s="24">
        <f t="shared" si="85"/>
        <v>0</v>
      </c>
      <c r="BD58" s="24">
        <f t="shared" si="86"/>
        <v>0</v>
      </c>
      <c r="BE58" s="24">
        <v>0</v>
      </c>
      <c r="BF58" s="24">
        <f>58</f>
        <v>58</v>
      </c>
      <c r="BH58" s="24">
        <f t="shared" si="87"/>
        <v>0</v>
      </c>
      <c r="BI58" s="24">
        <f t="shared" si="88"/>
        <v>0</v>
      </c>
      <c r="BJ58" s="24">
        <f t="shared" si="89"/>
        <v>0</v>
      </c>
      <c r="BK58" s="26" t="s">
        <v>56</v>
      </c>
      <c r="BL58" s="24"/>
      <c r="BW58" s="24">
        <v>21</v>
      </c>
      <c r="BX58" s="4" t="s">
        <v>188</v>
      </c>
    </row>
    <row r="59" spans="1:76" x14ac:dyDescent="0.25">
      <c r="A59" s="2" t="s">
        <v>189</v>
      </c>
      <c r="B59" s="3" t="s">
        <v>180</v>
      </c>
      <c r="C59" s="71" t="s">
        <v>190</v>
      </c>
      <c r="D59" s="66"/>
      <c r="E59" s="3" t="s">
        <v>173</v>
      </c>
      <c r="F59" s="24">
        <v>11.9</v>
      </c>
      <c r="G59" s="60">
        <v>0</v>
      </c>
      <c r="H59" s="24">
        <f t="shared" si="68"/>
        <v>0</v>
      </c>
      <c r="I59" s="24">
        <f t="shared" si="69"/>
        <v>0</v>
      </c>
      <c r="J59" s="24">
        <f t="shared" si="70"/>
        <v>0</v>
      </c>
      <c r="K59" s="25" t="s">
        <v>63</v>
      </c>
      <c r="Z59" s="24">
        <f t="shared" si="71"/>
        <v>0</v>
      </c>
      <c r="AB59" s="24">
        <f t="shared" si="72"/>
        <v>0</v>
      </c>
      <c r="AC59" s="24">
        <f t="shared" si="73"/>
        <v>0</v>
      </c>
      <c r="AD59" s="24">
        <f t="shared" si="74"/>
        <v>0</v>
      </c>
      <c r="AE59" s="24">
        <f t="shared" si="75"/>
        <v>0</v>
      </c>
      <c r="AF59" s="24">
        <f t="shared" si="76"/>
        <v>0</v>
      </c>
      <c r="AG59" s="24">
        <f t="shared" si="77"/>
        <v>0</v>
      </c>
      <c r="AH59" s="24">
        <f t="shared" si="78"/>
        <v>0</v>
      </c>
      <c r="AI59" s="10" t="s">
        <v>47</v>
      </c>
      <c r="AJ59" s="24">
        <f t="shared" si="79"/>
        <v>0</v>
      </c>
      <c r="AK59" s="24">
        <f t="shared" si="80"/>
        <v>0</v>
      </c>
      <c r="AL59" s="24">
        <f t="shared" si="81"/>
        <v>0</v>
      </c>
      <c r="AN59" s="24">
        <v>21</v>
      </c>
      <c r="AO59" s="24">
        <f>G59*0.011265046</f>
        <v>0</v>
      </c>
      <c r="AP59" s="24">
        <f>G59*(1-0.011265046)</f>
        <v>0</v>
      </c>
      <c r="AQ59" s="26" t="s">
        <v>76</v>
      </c>
      <c r="AV59" s="24">
        <f t="shared" si="82"/>
        <v>0</v>
      </c>
      <c r="AW59" s="24">
        <f t="shared" si="83"/>
        <v>0</v>
      </c>
      <c r="AX59" s="24">
        <f t="shared" si="84"/>
        <v>0</v>
      </c>
      <c r="AY59" s="26" t="s">
        <v>182</v>
      </c>
      <c r="AZ59" s="26" t="s">
        <v>182</v>
      </c>
      <c r="BA59" s="10" t="s">
        <v>55</v>
      </c>
      <c r="BC59" s="24">
        <f t="shared" si="85"/>
        <v>0</v>
      </c>
      <c r="BD59" s="24">
        <f t="shared" si="86"/>
        <v>0</v>
      </c>
      <c r="BE59" s="24">
        <v>0</v>
      </c>
      <c r="BF59" s="24">
        <f>59</f>
        <v>59</v>
      </c>
      <c r="BH59" s="24">
        <f t="shared" si="87"/>
        <v>0</v>
      </c>
      <c r="BI59" s="24">
        <f t="shared" si="88"/>
        <v>0</v>
      </c>
      <c r="BJ59" s="24">
        <f t="shared" si="89"/>
        <v>0</v>
      </c>
      <c r="BK59" s="26" t="s">
        <v>56</v>
      </c>
      <c r="BL59" s="24"/>
      <c r="BW59" s="24">
        <v>21</v>
      </c>
      <c r="BX59" s="4" t="s">
        <v>190</v>
      </c>
    </row>
    <row r="60" spans="1:76" x14ac:dyDescent="0.25">
      <c r="A60" s="2" t="s">
        <v>191</v>
      </c>
      <c r="B60" s="3" t="s">
        <v>184</v>
      </c>
      <c r="C60" s="71" t="s">
        <v>192</v>
      </c>
      <c r="D60" s="66"/>
      <c r="E60" s="3" t="s">
        <v>173</v>
      </c>
      <c r="F60" s="24">
        <v>249.9</v>
      </c>
      <c r="G60" s="60">
        <v>0</v>
      </c>
      <c r="H60" s="24">
        <f t="shared" si="68"/>
        <v>0</v>
      </c>
      <c r="I60" s="24">
        <f t="shared" si="69"/>
        <v>0</v>
      </c>
      <c r="J60" s="24">
        <f t="shared" si="70"/>
        <v>0</v>
      </c>
      <c r="K60" s="25" t="s">
        <v>63</v>
      </c>
      <c r="Z60" s="24">
        <f t="shared" si="71"/>
        <v>0</v>
      </c>
      <c r="AB60" s="24">
        <f t="shared" si="72"/>
        <v>0</v>
      </c>
      <c r="AC60" s="24">
        <f t="shared" si="73"/>
        <v>0</v>
      </c>
      <c r="AD60" s="24">
        <f t="shared" si="74"/>
        <v>0</v>
      </c>
      <c r="AE60" s="24">
        <f t="shared" si="75"/>
        <v>0</v>
      </c>
      <c r="AF60" s="24">
        <f t="shared" si="76"/>
        <v>0</v>
      </c>
      <c r="AG60" s="24">
        <f t="shared" si="77"/>
        <v>0</v>
      </c>
      <c r="AH60" s="24">
        <f t="shared" si="78"/>
        <v>0</v>
      </c>
      <c r="AI60" s="10" t="s">
        <v>47</v>
      </c>
      <c r="AJ60" s="24">
        <f t="shared" si="79"/>
        <v>0</v>
      </c>
      <c r="AK60" s="24">
        <f t="shared" si="80"/>
        <v>0</v>
      </c>
      <c r="AL60" s="24">
        <f t="shared" si="81"/>
        <v>0</v>
      </c>
      <c r="AN60" s="24">
        <v>21</v>
      </c>
      <c r="AO60" s="24">
        <f>G60*0</f>
        <v>0</v>
      </c>
      <c r="AP60" s="24">
        <f>G60*(1-0)</f>
        <v>0</v>
      </c>
      <c r="AQ60" s="26" t="s">
        <v>76</v>
      </c>
      <c r="AV60" s="24">
        <f t="shared" si="82"/>
        <v>0</v>
      </c>
      <c r="AW60" s="24">
        <f t="shared" si="83"/>
        <v>0</v>
      </c>
      <c r="AX60" s="24">
        <f t="shared" si="84"/>
        <v>0</v>
      </c>
      <c r="AY60" s="26" t="s">
        <v>182</v>
      </c>
      <c r="AZ60" s="26" t="s">
        <v>182</v>
      </c>
      <c r="BA60" s="10" t="s">
        <v>55</v>
      </c>
      <c r="BC60" s="24">
        <f t="shared" si="85"/>
        <v>0</v>
      </c>
      <c r="BD60" s="24">
        <f t="shared" si="86"/>
        <v>0</v>
      </c>
      <c r="BE60" s="24">
        <v>0</v>
      </c>
      <c r="BF60" s="24">
        <f>60</f>
        <v>60</v>
      </c>
      <c r="BH60" s="24">
        <f t="shared" si="87"/>
        <v>0</v>
      </c>
      <c r="BI60" s="24">
        <f t="shared" si="88"/>
        <v>0</v>
      </c>
      <c r="BJ60" s="24">
        <f t="shared" si="89"/>
        <v>0</v>
      </c>
      <c r="BK60" s="26" t="s">
        <v>56</v>
      </c>
      <c r="BL60" s="24"/>
      <c r="BW60" s="24">
        <v>21</v>
      </c>
      <c r="BX60" s="4" t="s">
        <v>192</v>
      </c>
    </row>
    <row r="61" spans="1:76" ht="25.5" x14ac:dyDescent="0.25">
      <c r="A61" s="2" t="s">
        <v>193</v>
      </c>
      <c r="B61" s="3" t="s">
        <v>187</v>
      </c>
      <c r="C61" s="71" t="s">
        <v>194</v>
      </c>
      <c r="D61" s="66"/>
      <c r="E61" s="3" t="s">
        <v>173</v>
      </c>
      <c r="F61" s="24">
        <v>11.9</v>
      </c>
      <c r="G61" s="60">
        <v>0</v>
      </c>
      <c r="H61" s="24">
        <f t="shared" si="68"/>
        <v>0</v>
      </c>
      <c r="I61" s="24">
        <f t="shared" si="69"/>
        <v>0</v>
      </c>
      <c r="J61" s="24">
        <f t="shared" si="70"/>
        <v>0</v>
      </c>
      <c r="K61" s="25" t="s">
        <v>63</v>
      </c>
      <c r="Z61" s="24">
        <f t="shared" si="71"/>
        <v>0</v>
      </c>
      <c r="AB61" s="24">
        <f t="shared" si="72"/>
        <v>0</v>
      </c>
      <c r="AC61" s="24">
        <f t="shared" si="73"/>
        <v>0</v>
      </c>
      <c r="AD61" s="24">
        <f t="shared" si="74"/>
        <v>0</v>
      </c>
      <c r="AE61" s="24">
        <f t="shared" si="75"/>
        <v>0</v>
      </c>
      <c r="AF61" s="24">
        <f t="shared" si="76"/>
        <v>0</v>
      </c>
      <c r="AG61" s="24">
        <f t="shared" si="77"/>
        <v>0</v>
      </c>
      <c r="AH61" s="24">
        <f t="shared" si="78"/>
        <v>0</v>
      </c>
      <c r="AI61" s="10" t="s">
        <v>47</v>
      </c>
      <c r="AJ61" s="24">
        <f t="shared" si="79"/>
        <v>0</v>
      </c>
      <c r="AK61" s="24">
        <f t="shared" si="80"/>
        <v>0</v>
      </c>
      <c r="AL61" s="24">
        <f t="shared" si="81"/>
        <v>0</v>
      </c>
      <c r="AN61" s="24">
        <v>21</v>
      </c>
      <c r="AO61" s="24">
        <f>G61*0</f>
        <v>0</v>
      </c>
      <c r="AP61" s="24">
        <f>G61*(1-0)</f>
        <v>0</v>
      </c>
      <c r="AQ61" s="26" t="s">
        <v>76</v>
      </c>
      <c r="AV61" s="24">
        <f t="shared" si="82"/>
        <v>0</v>
      </c>
      <c r="AW61" s="24">
        <f t="shared" si="83"/>
        <v>0</v>
      </c>
      <c r="AX61" s="24">
        <f t="shared" si="84"/>
        <v>0</v>
      </c>
      <c r="AY61" s="26" t="s">
        <v>182</v>
      </c>
      <c r="AZ61" s="26" t="s">
        <v>182</v>
      </c>
      <c r="BA61" s="10" t="s">
        <v>55</v>
      </c>
      <c r="BC61" s="24">
        <f t="shared" si="85"/>
        <v>0</v>
      </c>
      <c r="BD61" s="24">
        <f t="shared" si="86"/>
        <v>0</v>
      </c>
      <c r="BE61" s="24">
        <v>0</v>
      </c>
      <c r="BF61" s="24">
        <f>61</f>
        <v>61</v>
      </c>
      <c r="BH61" s="24">
        <f t="shared" si="87"/>
        <v>0</v>
      </c>
      <c r="BI61" s="24">
        <f t="shared" si="88"/>
        <v>0</v>
      </c>
      <c r="BJ61" s="24">
        <f t="shared" si="89"/>
        <v>0</v>
      </c>
      <c r="BK61" s="26" t="s">
        <v>56</v>
      </c>
      <c r="BL61" s="24"/>
      <c r="BW61" s="24">
        <v>21</v>
      </c>
      <c r="BX61" s="4" t="s">
        <v>194</v>
      </c>
    </row>
    <row r="62" spans="1:76" x14ac:dyDescent="0.25">
      <c r="A62" s="2" t="s">
        <v>195</v>
      </c>
      <c r="B62" s="3" t="s">
        <v>196</v>
      </c>
      <c r="C62" s="71" t="s">
        <v>197</v>
      </c>
      <c r="D62" s="66"/>
      <c r="E62" s="3" t="s">
        <v>173</v>
      </c>
      <c r="F62" s="24">
        <v>260.01181000000003</v>
      </c>
      <c r="G62" s="60">
        <v>0</v>
      </c>
      <c r="H62" s="24">
        <f t="shared" si="68"/>
        <v>0</v>
      </c>
      <c r="I62" s="24">
        <f t="shared" si="69"/>
        <v>0</v>
      </c>
      <c r="J62" s="24">
        <f t="shared" si="70"/>
        <v>0</v>
      </c>
      <c r="K62" s="25" t="s">
        <v>63</v>
      </c>
      <c r="Z62" s="24">
        <f t="shared" si="71"/>
        <v>0</v>
      </c>
      <c r="AB62" s="24">
        <f t="shared" si="72"/>
        <v>0</v>
      </c>
      <c r="AC62" s="24">
        <f t="shared" si="73"/>
        <v>0</v>
      </c>
      <c r="AD62" s="24">
        <f t="shared" si="74"/>
        <v>0</v>
      </c>
      <c r="AE62" s="24">
        <f t="shared" si="75"/>
        <v>0</v>
      </c>
      <c r="AF62" s="24">
        <f t="shared" si="76"/>
        <v>0</v>
      </c>
      <c r="AG62" s="24">
        <f t="shared" si="77"/>
        <v>0</v>
      </c>
      <c r="AH62" s="24">
        <f t="shared" si="78"/>
        <v>0</v>
      </c>
      <c r="AI62" s="10" t="s">
        <v>47</v>
      </c>
      <c r="AJ62" s="24">
        <f t="shared" si="79"/>
        <v>0</v>
      </c>
      <c r="AK62" s="24">
        <f t="shared" si="80"/>
        <v>0</v>
      </c>
      <c r="AL62" s="24">
        <f t="shared" si="81"/>
        <v>0</v>
      </c>
      <c r="AN62" s="24">
        <v>21</v>
      </c>
      <c r="AO62" s="24">
        <f>G62*0</f>
        <v>0</v>
      </c>
      <c r="AP62" s="24">
        <f>G62*(1-0)</f>
        <v>0</v>
      </c>
      <c r="AQ62" s="26" t="s">
        <v>76</v>
      </c>
      <c r="AV62" s="24">
        <f t="shared" si="82"/>
        <v>0</v>
      </c>
      <c r="AW62" s="24">
        <f t="shared" si="83"/>
        <v>0</v>
      </c>
      <c r="AX62" s="24">
        <f t="shared" si="84"/>
        <v>0</v>
      </c>
      <c r="AY62" s="26" t="s">
        <v>182</v>
      </c>
      <c r="AZ62" s="26" t="s">
        <v>182</v>
      </c>
      <c r="BA62" s="10" t="s">
        <v>55</v>
      </c>
      <c r="BC62" s="24">
        <f t="shared" si="85"/>
        <v>0</v>
      </c>
      <c r="BD62" s="24">
        <f t="shared" si="86"/>
        <v>0</v>
      </c>
      <c r="BE62" s="24">
        <v>0</v>
      </c>
      <c r="BF62" s="24">
        <f>62</f>
        <v>62</v>
      </c>
      <c r="BH62" s="24">
        <f t="shared" si="87"/>
        <v>0</v>
      </c>
      <c r="BI62" s="24">
        <f t="shared" si="88"/>
        <v>0</v>
      </c>
      <c r="BJ62" s="24">
        <f t="shared" si="89"/>
        <v>0</v>
      </c>
      <c r="BK62" s="26" t="s">
        <v>56</v>
      </c>
      <c r="BL62" s="24"/>
      <c r="BW62" s="24">
        <v>21</v>
      </c>
      <c r="BX62" s="4" t="s">
        <v>197</v>
      </c>
    </row>
    <row r="63" spans="1:76" x14ac:dyDescent="0.25">
      <c r="A63" s="27" t="s">
        <v>47</v>
      </c>
      <c r="B63" s="28" t="s">
        <v>198</v>
      </c>
      <c r="C63" s="89" t="s">
        <v>199</v>
      </c>
      <c r="D63" s="90"/>
      <c r="E63" s="29" t="s">
        <v>28</v>
      </c>
      <c r="F63" s="29" t="s">
        <v>28</v>
      </c>
      <c r="G63" s="29" t="s">
        <v>28</v>
      </c>
      <c r="H63" s="1">
        <f>H64+H68+H72</f>
        <v>0</v>
      </c>
      <c r="I63" s="1">
        <f>I64+I68+I72</f>
        <v>0</v>
      </c>
      <c r="J63" s="1">
        <f>J64+J68+J72</f>
        <v>0</v>
      </c>
      <c r="K63" s="30" t="s">
        <v>47</v>
      </c>
      <c r="AI63" s="10" t="s">
        <v>47</v>
      </c>
    </row>
    <row r="64" spans="1:76" x14ac:dyDescent="0.25">
      <c r="A64" s="27" t="s">
        <v>47</v>
      </c>
      <c r="B64" s="28" t="s">
        <v>200</v>
      </c>
      <c r="C64" s="89" t="s">
        <v>201</v>
      </c>
      <c r="D64" s="90"/>
      <c r="E64" s="29" t="s">
        <v>28</v>
      </c>
      <c r="F64" s="29" t="s">
        <v>28</v>
      </c>
      <c r="G64" s="29" t="s">
        <v>28</v>
      </c>
      <c r="H64" s="1">
        <f>ROUND(SUM(H65:H67),2)</f>
        <v>0</v>
      </c>
      <c r="I64" s="1">
        <f>ROUND(SUM(I65:I67),2)</f>
        <v>0</v>
      </c>
      <c r="J64" s="1">
        <f>ROUND(SUM(J65:J67),2)</f>
        <v>0</v>
      </c>
      <c r="K64" s="30" t="s">
        <v>47</v>
      </c>
      <c r="AI64" s="10" t="s">
        <v>47</v>
      </c>
      <c r="AS64" s="1">
        <f>SUM(AJ65:AJ67)</f>
        <v>0</v>
      </c>
      <c r="AT64" s="1">
        <f>SUM(AK65:AK67)</f>
        <v>0</v>
      </c>
      <c r="AU64" s="1">
        <f>SUM(AL65:AL67)</f>
        <v>0</v>
      </c>
    </row>
    <row r="65" spans="1:76" x14ac:dyDescent="0.25">
      <c r="A65" s="2" t="s">
        <v>202</v>
      </c>
      <c r="B65" s="3" t="s">
        <v>203</v>
      </c>
      <c r="C65" s="71" t="s">
        <v>204</v>
      </c>
      <c r="D65" s="66"/>
      <c r="E65" s="3" t="s">
        <v>205</v>
      </c>
      <c r="F65" s="24">
        <v>1</v>
      </c>
      <c r="G65" s="60">
        <v>0</v>
      </c>
      <c r="H65" s="24">
        <f>ROUND(F65*AO65,2)</f>
        <v>0</v>
      </c>
      <c r="I65" s="24">
        <f>ROUND(F65*AP65,2)</f>
        <v>0</v>
      </c>
      <c r="J65" s="24">
        <f>ROUND(F65*G65,2)</f>
        <v>0</v>
      </c>
      <c r="K65" s="25" t="s">
        <v>63</v>
      </c>
      <c r="Z65" s="24">
        <f>ROUND(IF(AQ65="5",BJ65,0),2)</f>
        <v>0</v>
      </c>
      <c r="AB65" s="24">
        <f>ROUND(IF(AQ65="1",BH65,0),2)</f>
        <v>0</v>
      </c>
      <c r="AC65" s="24">
        <f>ROUND(IF(AQ65="1",BI65,0),2)</f>
        <v>0</v>
      </c>
      <c r="AD65" s="24">
        <f>ROUND(IF(AQ65="7",BH65,0),2)</f>
        <v>0</v>
      </c>
      <c r="AE65" s="24">
        <f>ROUND(IF(AQ65="7",BI65,0),2)</f>
        <v>0</v>
      </c>
      <c r="AF65" s="24">
        <f>ROUND(IF(AQ65="2",BH65,0),2)</f>
        <v>0</v>
      </c>
      <c r="AG65" s="24">
        <f>ROUND(IF(AQ65="2",BI65,0),2)</f>
        <v>0</v>
      </c>
      <c r="AH65" s="24">
        <f>ROUND(IF(AQ65="0",BJ65,0),2)</f>
        <v>0</v>
      </c>
      <c r="AI65" s="10" t="s">
        <v>47</v>
      </c>
      <c r="AJ65" s="24">
        <f>IF(AN65=0,J65,0)</f>
        <v>0</v>
      </c>
      <c r="AK65" s="24">
        <f>IF(AN65=12,J65,0)</f>
        <v>0</v>
      </c>
      <c r="AL65" s="24">
        <f>IF(AN65=21,J65,0)</f>
        <v>0</v>
      </c>
      <c r="AN65" s="24">
        <v>21</v>
      </c>
      <c r="AO65" s="24">
        <f>G65*0</f>
        <v>0</v>
      </c>
      <c r="AP65" s="24">
        <f>G65*(1-0)</f>
        <v>0</v>
      </c>
      <c r="AQ65" s="26" t="s">
        <v>206</v>
      </c>
      <c r="AV65" s="24">
        <f>ROUND(AW65+AX65,2)</f>
        <v>0</v>
      </c>
      <c r="AW65" s="24">
        <f>ROUND(F65*AO65,2)</f>
        <v>0</v>
      </c>
      <c r="AX65" s="24">
        <f>ROUND(F65*AP65,2)</f>
        <v>0</v>
      </c>
      <c r="AY65" s="26" t="s">
        <v>207</v>
      </c>
      <c r="AZ65" s="26" t="s">
        <v>207</v>
      </c>
      <c r="BA65" s="10" t="s">
        <v>55</v>
      </c>
      <c r="BC65" s="24">
        <f>AW65+AX65</f>
        <v>0</v>
      </c>
      <c r="BD65" s="24">
        <f>G65/(100-BE65)*100</f>
        <v>0</v>
      </c>
      <c r="BE65" s="24">
        <v>0</v>
      </c>
      <c r="BF65" s="24">
        <f>65</f>
        <v>65</v>
      </c>
      <c r="BH65" s="24">
        <f>F65*AO65</f>
        <v>0</v>
      </c>
      <c r="BI65" s="24">
        <f>F65*AP65</f>
        <v>0</v>
      </c>
      <c r="BJ65" s="24">
        <f>F65*G65</f>
        <v>0</v>
      </c>
      <c r="BK65" s="26" t="s">
        <v>56</v>
      </c>
      <c r="BL65" s="24"/>
      <c r="BM65" s="24">
        <f>F65*G65</f>
        <v>0</v>
      </c>
      <c r="BW65" s="24">
        <v>21</v>
      </c>
      <c r="BX65" s="4" t="s">
        <v>204</v>
      </c>
    </row>
    <row r="66" spans="1:76" x14ac:dyDescent="0.25">
      <c r="A66" s="2" t="s">
        <v>208</v>
      </c>
      <c r="B66" s="3" t="s">
        <v>209</v>
      </c>
      <c r="C66" s="71" t="s">
        <v>210</v>
      </c>
      <c r="D66" s="66"/>
      <c r="E66" s="3" t="s">
        <v>205</v>
      </c>
      <c r="F66" s="24">
        <v>1</v>
      </c>
      <c r="G66" s="60">
        <v>0</v>
      </c>
      <c r="H66" s="24">
        <f>ROUND(F66*AO66,2)</f>
        <v>0</v>
      </c>
      <c r="I66" s="24">
        <f>ROUND(F66*AP66,2)</f>
        <v>0</v>
      </c>
      <c r="J66" s="24">
        <f>ROUND(F66*G66,2)</f>
        <v>0</v>
      </c>
      <c r="K66" s="25" t="s">
        <v>63</v>
      </c>
      <c r="Z66" s="24">
        <f>ROUND(IF(AQ66="5",BJ66,0),2)</f>
        <v>0</v>
      </c>
      <c r="AB66" s="24">
        <f>ROUND(IF(AQ66="1",BH66,0),2)</f>
        <v>0</v>
      </c>
      <c r="AC66" s="24">
        <f>ROUND(IF(AQ66="1",BI66,0),2)</f>
        <v>0</v>
      </c>
      <c r="AD66" s="24">
        <f>ROUND(IF(AQ66="7",BH66,0),2)</f>
        <v>0</v>
      </c>
      <c r="AE66" s="24">
        <f>ROUND(IF(AQ66="7",BI66,0),2)</f>
        <v>0</v>
      </c>
      <c r="AF66" s="24">
        <f>ROUND(IF(AQ66="2",BH66,0),2)</f>
        <v>0</v>
      </c>
      <c r="AG66" s="24">
        <f>ROUND(IF(AQ66="2",BI66,0),2)</f>
        <v>0</v>
      </c>
      <c r="AH66" s="24">
        <f>ROUND(IF(AQ66="0",BJ66,0),2)</f>
        <v>0</v>
      </c>
      <c r="AI66" s="10" t="s">
        <v>47</v>
      </c>
      <c r="AJ66" s="24">
        <f>IF(AN66=0,J66,0)</f>
        <v>0</v>
      </c>
      <c r="AK66" s="24">
        <f>IF(AN66=12,J66,0)</f>
        <v>0</v>
      </c>
      <c r="AL66" s="24">
        <f>IF(AN66=21,J66,0)</f>
        <v>0</v>
      </c>
      <c r="AN66" s="24">
        <v>21</v>
      </c>
      <c r="AO66" s="24">
        <f>G66*0</f>
        <v>0</v>
      </c>
      <c r="AP66" s="24">
        <f>G66*(1-0)</f>
        <v>0</v>
      </c>
      <c r="AQ66" s="26" t="s">
        <v>206</v>
      </c>
      <c r="AV66" s="24">
        <f>ROUND(AW66+AX66,2)</f>
        <v>0</v>
      </c>
      <c r="AW66" s="24">
        <f>ROUND(F66*AO66,2)</f>
        <v>0</v>
      </c>
      <c r="AX66" s="24">
        <f>ROUND(F66*AP66,2)</f>
        <v>0</v>
      </c>
      <c r="AY66" s="26" t="s">
        <v>207</v>
      </c>
      <c r="AZ66" s="26" t="s">
        <v>207</v>
      </c>
      <c r="BA66" s="10" t="s">
        <v>55</v>
      </c>
      <c r="BC66" s="24">
        <f>AW66+AX66</f>
        <v>0</v>
      </c>
      <c r="BD66" s="24">
        <f>G66/(100-BE66)*100</f>
        <v>0</v>
      </c>
      <c r="BE66" s="24">
        <v>0</v>
      </c>
      <c r="BF66" s="24">
        <f>66</f>
        <v>66</v>
      </c>
      <c r="BH66" s="24">
        <f>F66*AO66</f>
        <v>0</v>
      </c>
      <c r="BI66" s="24">
        <f>F66*AP66</f>
        <v>0</v>
      </c>
      <c r="BJ66" s="24">
        <f>F66*G66</f>
        <v>0</v>
      </c>
      <c r="BK66" s="26" t="s">
        <v>56</v>
      </c>
      <c r="BL66" s="24"/>
      <c r="BM66" s="24">
        <f>F66*G66</f>
        <v>0</v>
      </c>
      <c r="BW66" s="24">
        <v>21</v>
      </c>
      <c r="BX66" s="4" t="s">
        <v>210</v>
      </c>
    </row>
    <row r="67" spans="1:76" ht="8.25" customHeight="1" x14ac:dyDescent="0.25">
      <c r="A67" s="2"/>
      <c r="B67" s="3"/>
      <c r="C67" s="71"/>
      <c r="D67" s="71"/>
      <c r="E67" s="3"/>
      <c r="F67" s="24"/>
      <c r="G67" s="24"/>
      <c r="H67" s="24"/>
      <c r="I67" s="24"/>
      <c r="J67" s="24"/>
      <c r="K67" s="25"/>
      <c r="Z67" s="24">
        <f>ROUND(IF(AQ67="5",BJ67,0),2)</f>
        <v>0</v>
      </c>
      <c r="AB67" s="24">
        <f>ROUND(IF(AQ67="1",BH67,0),2)</f>
        <v>0</v>
      </c>
      <c r="AC67" s="24">
        <f>ROUND(IF(AQ67="1",BI67,0),2)</f>
        <v>0</v>
      </c>
      <c r="AD67" s="24">
        <f>ROUND(IF(AQ67="7",BH67,0),2)</f>
        <v>0</v>
      </c>
      <c r="AE67" s="24">
        <f>ROUND(IF(AQ67="7",BI67,0),2)</f>
        <v>0</v>
      </c>
      <c r="AF67" s="24">
        <f>ROUND(IF(AQ67="2",BH67,0),2)</f>
        <v>0</v>
      </c>
      <c r="AG67" s="24">
        <f>ROUND(IF(AQ67="2",BI67,0),2)</f>
        <v>0</v>
      </c>
      <c r="AH67" s="24">
        <f>ROUND(IF(AQ67="0",BJ67,0),2)</f>
        <v>0</v>
      </c>
      <c r="AI67" s="10" t="s">
        <v>47</v>
      </c>
      <c r="AJ67" s="24">
        <f>IF(AN67=0,J67,0)</f>
        <v>0</v>
      </c>
      <c r="AK67" s="24">
        <f>IF(AN67=12,J67,0)</f>
        <v>0</v>
      </c>
      <c r="AL67" s="24">
        <f>IF(AN67=21,J67,0)</f>
        <v>0</v>
      </c>
      <c r="AN67" s="24">
        <v>21</v>
      </c>
      <c r="AO67" s="24">
        <f>G67*0</f>
        <v>0</v>
      </c>
      <c r="AP67" s="24">
        <f>G67*(1-0)</f>
        <v>0</v>
      </c>
      <c r="AQ67" s="26" t="s">
        <v>206</v>
      </c>
      <c r="AV67" s="24">
        <f>ROUND(AW67+AX67,2)</f>
        <v>0</v>
      </c>
      <c r="AW67" s="24">
        <f>ROUND(F67*AO67,2)</f>
        <v>0</v>
      </c>
      <c r="AX67" s="24">
        <f>ROUND(F67*AP67,2)</f>
        <v>0</v>
      </c>
      <c r="AY67" s="26" t="s">
        <v>207</v>
      </c>
      <c r="AZ67" s="26" t="s">
        <v>207</v>
      </c>
      <c r="BA67" s="10" t="s">
        <v>55</v>
      </c>
      <c r="BC67" s="24">
        <f>AW67+AX67</f>
        <v>0</v>
      </c>
      <c r="BD67" s="24">
        <f>G67/(100-BE67)*100</f>
        <v>0</v>
      </c>
      <c r="BE67" s="24">
        <v>0</v>
      </c>
      <c r="BF67" s="24">
        <f>67</f>
        <v>67</v>
      </c>
      <c r="BH67" s="24">
        <f>F67*AO67</f>
        <v>0</v>
      </c>
      <c r="BI67" s="24">
        <f>F67*AP67</f>
        <v>0</v>
      </c>
      <c r="BJ67" s="24">
        <f>F67*G67</f>
        <v>0</v>
      </c>
      <c r="BK67" s="26" t="s">
        <v>56</v>
      </c>
      <c r="BL67" s="24"/>
      <c r="BM67" s="24">
        <f>F67*G67</f>
        <v>0</v>
      </c>
      <c r="BW67" s="24">
        <v>21</v>
      </c>
      <c r="BX67" s="4" t="s">
        <v>211</v>
      </c>
    </row>
    <row r="68" spans="1:76" x14ac:dyDescent="0.25">
      <c r="A68" s="27" t="s">
        <v>47</v>
      </c>
      <c r="B68" s="28" t="s">
        <v>212</v>
      </c>
      <c r="C68" s="89" t="s">
        <v>213</v>
      </c>
      <c r="D68" s="90"/>
      <c r="E68" s="29" t="s">
        <v>28</v>
      </c>
      <c r="F68" s="29" t="s">
        <v>28</v>
      </c>
      <c r="G68" s="29" t="s">
        <v>28</v>
      </c>
      <c r="H68" s="1">
        <f>ROUND(SUM(H69:H71),2)</f>
        <v>0</v>
      </c>
      <c r="I68" s="1">
        <f>ROUND(SUM(I69:I71),2)</f>
        <v>0</v>
      </c>
      <c r="J68" s="1">
        <f>ROUND(SUM(J69:J71),2)</f>
        <v>0</v>
      </c>
      <c r="K68" s="30" t="s">
        <v>47</v>
      </c>
      <c r="AI68" s="10" t="s">
        <v>47</v>
      </c>
      <c r="AS68" s="1">
        <f>SUM(AJ69:AJ71)</f>
        <v>0</v>
      </c>
      <c r="AT68" s="1">
        <f>SUM(AK69:AK71)</f>
        <v>0</v>
      </c>
      <c r="AU68" s="1">
        <f>SUM(AL69:AL71)</f>
        <v>0</v>
      </c>
    </row>
    <row r="69" spans="1:76" x14ac:dyDescent="0.25">
      <c r="A69" s="2" t="s">
        <v>214</v>
      </c>
      <c r="B69" s="3" t="s">
        <v>215</v>
      </c>
      <c r="C69" s="71" t="s">
        <v>213</v>
      </c>
      <c r="D69" s="66"/>
      <c r="E69" s="3" t="s">
        <v>205</v>
      </c>
      <c r="F69" s="24">
        <v>1</v>
      </c>
      <c r="G69" s="60">
        <v>0</v>
      </c>
      <c r="H69" s="24">
        <f>ROUND(F69*AO69,2)</f>
        <v>0</v>
      </c>
      <c r="I69" s="24">
        <f>ROUND(F69*AP69,2)</f>
        <v>0</v>
      </c>
      <c r="J69" s="24">
        <f>ROUND(F69*G69,2)</f>
        <v>0</v>
      </c>
      <c r="K69" s="25" t="s">
        <v>63</v>
      </c>
      <c r="Z69" s="24">
        <f>ROUND(IF(AQ69="5",BJ69,0),2)</f>
        <v>0</v>
      </c>
      <c r="AB69" s="24">
        <f>ROUND(IF(AQ69="1",BH69,0),2)</f>
        <v>0</v>
      </c>
      <c r="AC69" s="24">
        <f>ROUND(IF(AQ69="1",BI69,0),2)</f>
        <v>0</v>
      </c>
      <c r="AD69" s="24">
        <f>ROUND(IF(AQ69="7",BH69,0),2)</f>
        <v>0</v>
      </c>
      <c r="AE69" s="24">
        <f>ROUND(IF(AQ69="7",BI69,0),2)</f>
        <v>0</v>
      </c>
      <c r="AF69" s="24">
        <f>ROUND(IF(AQ69="2",BH69,0),2)</f>
        <v>0</v>
      </c>
      <c r="AG69" s="24">
        <f>ROUND(IF(AQ69="2",BI69,0),2)</f>
        <v>0</v>
      </c>
      <c r="AH69" s="24">
        <f>ROUND(IF(AQ69="0",BJ69,0),2)</f>
        <v>0</v>
      </c>
      <c r="AI69" s="10" t="s">
        <v>47</v>
      </c>
      <c r="AJ69" s="24">
        <f>IF(AN69=0,J69,0)</f>
        <v>0</v>
      </c>
      <c r="AK69" s="24">
        <f>IF(AN69=12,J69,0)</f>
        <v>0</v>
      </c>
      <c r="AL69" s="24">
        <f>IF(AN69=21,J69,0)</f>
        <v>0</v>
      </c>
      <c r="AN69" s="24">
        <v>21</v>
      </c>
      <c r="AO69" s="24">
        <f>G69*0</f>
        <v>0</v>
      </c>
      <c r="AP69" s="24">
        <f>G69*(1-0)</f>
        <v>0</v>
      </c>
      <c r="AQ69" s="26" t="s">
        <v>206</v>
      </c>
      <c r="AV69" s="24">
        <f>ROUND(AW69+AX69,2)</f>
        <v>0</v>
      </c>
      <c r="AW69" s="24">
        <f>ROUND(F69*AO69,2)</f>
        <v>0</v>
      </c>
      <c r="AX69" s="24">
        <f>ROUND(F69*AP69,2)</f>
        <v>0</v>
      </c>
      <c r="AY69" s="26" t="s">
        <v>216</v>
      </c>
      <c r="AZ69" s="26" t="s">
        <v>216</v>
      </c>
      <c r="BA69" s="10" t="s">
        <v>55</v>
      </c>
      <c r="BC69" s="24">
        <f>AW69+AX69</f>
        <v>0</v>
      </c>
      <c r="BD69" s="24">
        <f>G69/(100-BE69)*100</f>
        <v>0</v>
      </c>
      <c r="BE69" s="24">
        <v>0</v>
      </c>
      <c r="BF69" s="24">
        <f>69</f>
        <v>69</v>
      </c>
      <c r="BH69" s="24">
        <f>F69*AO69</f>
        <v>0</v>
      </c>
      <c r="BI69" s="24">
        <f>F69*AP69</f>
        <v>0</v>
      </c>
      <c r="BJ69" s="24">
        <f>F69*G69</f>
        <v>0</v>
      </c>
      <c r="BK69" s="26" t="s">
        <v>56</v>
      </c>
      <c r="BL69" s="24"/>
      <c r="BO69" s="24">
        <f>F69*G69</f>
        <v>0</v>
      </c>
      <c r="BW69" s="24">
        <v>21</v>
      </c>
      <c r="BX69" s="4" t="s">
        <v>213</v>
      </c>
    </row>
    <row r="70" spans="1:76" x14ac:dyDescent="0.25">
      <c r="A70" s="2" t="s">
        <v>217</v>
      </c>
      <c r="B70" s="3" t="s">
        <v>218</v>
      </c>
      <c r="C70" s="91" t="s">
        <v>219</v>
      </c>
      <c r="D70" s="66"/>
      <c r="E70" s="3" t="s">
        <v>205</v>
      </c>
      <c r="F70" s="24">
        <v>1</v>
      </c>
      <c r="G70" s="60">
        <v>0</v>
      </c>
      <c r="H70" s="24">
        <f>ROUND(F70*AO70,2)</f>
        <v>0</v>
      </c>
      <c r="I70" s="24">
        <f>ROUND(F70*AP70,2)</f>
        <v>0</v>
      </c>
      <c r="J70" s="24">
        <f>ROUND(F70*G70,2)</f>
        <v>0</v>
      </c>
      <c r="K70" s="25" t="s">
        <v>63</v>
      </c>
      <c r="Z70" s="24">
        <f>ROUND(IF(AQ70="5",BJ70,0),2)</f>
        <v>0</v>
      </c>
      <c r="AB70" s="24">
        <f>ROUND(IF(AQ70="1",BH70,0),2)</f>
        <v>0</v>
      </c>
      <c r="AC70" s="24">
        <f>ROUND(IF(AQ70="1",BI70,0),2)</f>
        <v>0</v>
      </c>
      <c r="AD70" s="24">
        <f>ROUND(IF(AQ70="7",BH70,0),2)</f>
        <v>0</v>
      </c>
      <c r="AE70" s="24">
        <f>ROUND(IF(AQ70="7",BI70,0),2)</f>
        <v>0</v>
      </c>
      <c r="AF70" s="24">
        <f>ROUND(IF(AQ70="2",BH70,0),2)</f>
        <v>0</v>
      </c>
      <c r="AG70" s="24">
        <f>ROUND(IF(AQ70="2",BI70,0),2)</f>
        <v>0</v>
      </c>
      <c r="AH70" s="24">
        <f>ROUND(IF(AQ70="0",BJ70,0),2)</f>
        <v>0</v>
      </c>
      <c r="AI70" s="10" t="s">
        <v>47</v>
      </c>
      <c r="AJ70" s="24">
        <f>IF(AN70=0,J70,0)</f>
        <v>0</v>
      </c>
      <c r="AK70" s="24">
        <f>IF(AN70=12,J70,0)</f>
        <v>0</v>
      </c>
      <c r="AL70" s="24">
        <f>IF(AN70=21,J70,0)</f>
        <v>0</v>
      </c>
      <c r="AN70" s="24">
        <v>21</v>
      </c>
      <c r="AO70" s="24">
        <f>G70*0</f>
        <v>0</v>
      </c>
      <c r="AP70" s="24">
        <f>G70*(1-0)</f>
        <v>0</v>
      </c>
      <c r="AQ70" s="26" t="s">
        <v>206</v>
      </c>
      <c r="AV70" s="24">
        <f>ROUND(AW70+AX70,2)</f>
        <v>0</v>
      </c>
      <c r="AW70" s="24">
        <f>ROUND(F70*AO70,2)</f>
        <v>0</v>
      </c>
      <c r="AX70" s="24">
        <f>ROUND(F70*AP70,2)</f>
        <v>0</v>
      </c>
      <c r="AY70" s="26" t="s">
        <v>216</v>
      </c>
      <c r="AZ70" s="26" t="s">
        <v>216</v>
      </c>
      <c r="BA70" s="10" t="s">
        <v>55</v>
      </c>
      <c r="BC70" s="24">
        <f>AW70+AX70</f>
        <v>0</v>
      </c>
      <c r="BD70" s="24">
        <f>G70/(100-BE70)*100</f>
        <v>0</v>
      </c>
      <c r="BE70" s="24">
        <v>0</v>
      </c>
      <c r="BF70" s="24">
        <f>70</f>
        <v>70</v>
      </c>
      <c r="BH70" s="24">
        <f>F70*AO70</f>
        <v>0</v>
      </c>
      <c r="BI70" s="24">
        <f>F70*AP70</f>
        <v>0</v>
      </c>
      <c r="BJ70" s="24">
        <f>F70*G70</f>
        <v>0</v>
      </c>
      <c r="BK70" s="26" t="s">
        <v>56</v>
      </c>
      <c r="BL70" s="24"/>
      <c r="BO70" s="24">
        <f>F70*G70</f>
        <v>0</v>
      </c>
      <c r="BW70" s="24">
        <v>21</v>
      </c>
      <c r="BX70" s="4" t="s">
        <v>219</v>
      </c>
    </row>
    <row r="71" spans="1:76" x14ac:dyDescent="0.25">
      <c r="A71" s="2" t="s">
        <v>220</v>
      </c>
      <c r="B71" s="3" t="s">
        <v>221</v>
      </c>
      <c r="C71" s="71" t="s">
        <v>222</v>
      </c>
      <c r="D71" s="66"/>
      <c r="E71" s="3" t="s">
        <v>205</v>
      </c>
      <c r="F71" s="24">
        <v>1</v>
      </c>
      <c r="G71" s="60">
        <v>0</v>
      </c>
      <c r="H71" s="24">
        <f>ROUND(F71*AO71,2)</f>
        <v>0</v>
      </c>
      <c r="I71" s="24">
        <f>ROUND(F71*AP71,2)</f>
        <v>0</v>
      </c>
      <c r="J71" s="24">
        <f>ROUND(F71*G71,2)</f>
        <v>0</v>
      </c>
      <c r="K71" s="25" t="s">
        <v>63</v>
      </c>
      <c r="Z71" s="24">
        <f>ROUND(IF(AQ71="5",BJ71,0),2)</f>
        <v>0</v>
      </c>
      <c r="AB71" s="24">
        <f>ROUND(IF(AQ71="1",BH71,0),2)</f>
        <v>0</v>
      </c>
      <c r="AC71" s="24">
        <f>ROUND(IF(AQ71="1",BI71,0),2)</f>
        <v>0</v>
      </c>
      <c r="AD71" s="24">
        <f>ROUND(IF(AQ71="7",BH71,0),2)</f>
        <v>0</v>
      </c>
      <c r="AE71" s="24">
        <f>ROUND(IF(AQ71="7",BI71,0),2)</f>
        <v>0</v>
      </c>
      <c r="AF71" s="24">
        <f>ROUND(IF(AQ71="2",BH71,0),2)</f>
        <v>0</v>
      </c>
      <c r="AG71" s="24">
        <f>ROUND(IF(AQ71="2",BI71,0),2)</f>
        <v>0</v>
      </c>
      <c r="AH71" s="24">
        <f>ROUND(IF(AQ71="0",BJ71,0),2)</f>
        <v>0</v>
      </c>
      <c r="AI71" s="10" t="s">
        <v>47</v>
      </c>
      <c r="AJ71" s="24">
        <f>IF(AN71=0,J71,0)</f>
        <v>0</v>
      </c>
      <c r="AK71" s="24">
        <f>IF(AN71=12,J71,0)</f>
        <v>0</v>
      </c>
      <c r="AL71" s="24">
        <f>IF(AN71=21,J71,0)</f>
        <v>0</v>
      </c>
      <c r="AN71" s="24">
        <v>21</v>
      </c>
      <c r="AO71" s="24">
        <f>G71*0</f>
        <v>0</v>
      </c>
      <c r="AP71" s="24">
        <f>G71*(1-0)</f>
        <v>0</v>
      </c>
      <c r="AQ71" s="26" t="s">
        <v>206</v>
      </c>
      <c r="AV71" s="24">
        <f>ROUND(AW71+AX71,2)</f>
        <v>0</v>
      </c>
      <c r="AW71" s="24">
        <f>ROUND(F71*AO71,2)</f>
        <v>0</v>
      </c>
      <c r="AX71" s="24">
        <f>ROUND(F71*AP71,2)</f>
        <v>0</v>
      </c>
      <c r="AY71" s="26" t="s">
        <v>216</v>
      </c>
      <c r="AZ71" s="26" t="s">
        <v>216</v>
      </c>
      <c r="BA71" s="10" t="s">
        <v>55</v>
      </c>
      <c r="BC71" s="24">
        <f>AW71+AX71</f>
        <v>0</v>
      </c>
      <c r="BD71" s="24">
        <f>G71/(100-BE71)*100</f>
        <v>0</v>
      </c>
      <c r="BE71" s="24">
        <v>0</v>
      </c>
      <c r="BF71" s="24">
        <f>71</f>
        <v>71</v>
      </c>
      <c r="BH71" s="24">
        <f>F71*AO71</f>
        <v>0</v>
      </c>
      <c r="BI71" s="24">
        <f>F71*AP71</f>
        <v>0</v>
      </c>
      <c r="BJ71" s="24">
        <f>F71*G71</f>
        <v>0</v>
      </c>
      <c r="BK71" s="26" t="s">
        <v>56</v>
      </c>
      <c r="BL71" s="24"/>
      <c r="BO71" s="24">
        <f>F71*G71</f>
        <v>0</v>
      </c>
      <c r="BW71" s="24">
        <v>21</v>
      </c>
      <c r="BX71" s="4" t="s">
        <v>222</v>
      </c>
    </row>
    <row r="72" spans="1:76" x14ac:dyDescent="0.25">
      <c r="A72" s="27" t="s">
        <v>47</v>
      </c>
      <c r="B72" s="28" t="s">
        <v>223</v>
      </c>
      <c r="C72" s="89" t="s">
        <v>224</v>
      </c>
      <c r="D72" s="90"/>
      <c r="E72" s="29" t="s">
        <v>28</v>
      </c>
      <c r="F72" s="29" t="s">
        <v>28</v>
      </c>
      <c r="G72" s="29"/>
      <c r="H72" s="1">
        <f>ROUND(SUM(H73:H73),2)</f>
        <v>0</v>
      </c>
      <c r="I72" s="1">
        <f>ROUND(SUM(I73:I73),2)</f>
        <v>0</v>
      </c>
      <c r="J72" s="1">
        <f>ROUND(SUM(J73:J73),2)</f>
        <v>0</v>
      </c>
      <c r="K72" s="30" t="s">
        <v>47</v>
      </c>
      <c r="AI72" s="10" t="s">
        <v>47</v>
      </c>
      <c r="AS72" s="1">
        <f>SUM(AJ73:AJ73)</f>
        <v>0</v>
      </c>
      <c r="AT72" s="1">
        <f>SUM(AK73:AK73)</f>
        <v>0</v>
      </c>
      <c r="AU72" s="1">
        <f>SUM(AL73:AL73)</f>
        <v>0</v>
      </c>
    </row>
    <row r="73" spans="1:76" x14ac:dyDescent="0.25">
      <c r="A73" s="31" t="s">
        <v>225</v>
      </c>
      <c r="B73" s="32" t="s">
        <v>226</v>
      </c>
      <c r="C73" s="92" t="s">
        <v>227</v>
      </c>
      <c r="D73" s="93"/>
      <c r="E73" s="32" t="s">
        <v>205</v>
      </c>
      <c r="F73" s="33">
        <v>1</v>
      </c>
      <c r="G73" s="61">
        <v>0</v>
      </c>
      <c r="H73" s="33">
        <f>ROUND(F73*AO73,2)</f>
        <v>0</v>
      </c>
      <c r="I73" s="33">
        <f>ROUND(F73*AP73,2)</f>
        <v>0</v>
      </c>
      <c r="J73" s="33">
        <f>ROUND(F73*G73,2)</f>
        <v>0</v>
      </c>
      <c r="K73" s="34" t="s">
        <v>63</v>
      </c>
      <c r="Z73" s="24">
        <f>ROUND(IF(AQ73="5",BJ73,0),2)</f>
        <v>0</v>
      </c>
      <c r="AB73" s="24">
        <f>ROUND(IF(AQ73="1",BH73,0),2)</f>
        <v>0</v>
      </c>
      <c r="AC73" s="24">
        <f>ROUND(IF(AQ73="1",BI73,0),2)</f>
        <v>0</v>
      </c>
      <c r="AD73" s="24">
        <f>ROUND(IF(AQ73="7",BH73,0),2)</f>
        <v>0</v>
      </c>
      <c r="AE73" s="24">
        <f>ROUND(IF(AQ73="7",BI73,0),2)</f>
        <v>0</v>
      </c>
      <c r="AF73" s="24">
        <f>ROUND(IF(AQ73="2",BH73,0),2)</f>
        <v>0</v>
      </c>
      <c r="AG73" s="24">
        <f>ROUND(IF(AQ73="2",BI73,0),2)</f>
        <v>0</v>
      </c>
      <c r="AH73" s="24">
        <f>ROUND(IF(AQ73="0",BJ73,0),2)</f>
        <v>0</v>
      </c>
      <c r="AI73" s="10" t="s">
        <v>47</v>
      </c>
      <c r="AJ73" s="24">
        <f>IF(AN73=0,J73,0)</f>
        <v>0</v>
      </c>
      <c r="AK73" s="24">
        <f>IF(AN73=12,J73,0)</f>
        <v>0</v>
      </c>
      <c r="AL73" s="24">
        <f>IF(AN73=21,J73,0)</f>
        <v>0</v>
      </c>
      <c r="AN73" s="24">
        <v>21</v>
      </c>
      <c r="AO73" s="24">
        <f>G73*0</f>
        <v>0</v>
      </c>
      <c r="AP73" s="24">
        <f>G73*(1-0)</f>
        <v>0</v>
      </c>
      <c r="AQ73" s="26" t="s">
        <v>206</v>
      </c>
      <c r="AV73" s="24">
        <f>ROUND(AW73+AX73,2)</f>
        <v>0</v>
      </c>
      <c r="AW73" s="24">
        <f>ROUND(F73*AO73,2)</f>
        <v>0</v>
      </c>
      <c r="AX73" s="24">
        <f>ROUND(F73*AP73,2)</f>
        <v>0</v>
      </c>
      <c r="AY73" s="26" t="s">
        <v>228</v>
      </c>
      <c r="AZ73" s="26" t="s">
        <v>228</v>
      </c>
      <c r="BA73" s="10" t="s">
        <v>55</v>
      </c>
      <c r="BC73" s="24">
        <f>AW73+AX73</f>
        <v>0</v>
      </c>
      <c r="BD73" s="24">
        <f>G73/(100-BE73)*100</f>
        <v>0</v>
      </c>
      <c r="BE73" s="24">
        <v>0</v>
      </c>
      <c r="BF73" s="24">
        <f>73</f>
        <v>73</v>
      </c>
      <c r="BH73" s="24">
        <f>F73*AO73</f>
        <v>0</v>
      </c>
      <c r="BI73" s="24">
        <f>F73*AP73</f>
        <v>0</v>
      </c>
      <c r="BJ73" s="24">
        <f>F73*G73</f>
        <v>0</v>
      </c>
      <c r="BK73" s="26" t="s">
        <v>56</v>
      </c>
      <c r="BL73" s="24"/>
      <c r="BS73" s="24">
        <f>F73*G73</f>
        <v>0</v>
      </c>
      <c r="BW73" s="24">
        <v>21</v>
      </c>
      <c r="BX73" s="4" t="s">
        <v>227</v>
      </c>
    </row>
    <row r="74" spans="1:76" x14ac:dyDescent="0.25">
      <c r="H74" s="94" t="s">
        <v>229</v>
      </c>
      <c r="I74" s="94"/>
      <c r="J74" s="35">
        <f>ROUND(SUM(J12,J14,J17,J22,J29,J36,J39,J46,J49,J55,J64,J68,J72),2)</f>
        <v>0</v>
      </c>
    </row>
    <row r="75" spans="1:76" x14ac:dyDescent="0.25">
      <c r="A75" s="36" t="s">
        <v>230</v>
      </c>
    </row>
    <row r="76" spans="1:76" ht="12.75" customHeight="1" x14ac:dyDescent="0.25">
      <c r="A76" s="71" t="s">
        <v>47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</row>
  </sheetData>
  <mergeCells count="92">
    <mergeCell ref="A76:K76"/>
    <mergeCell ref="C70:D70"/>
    <mergeCell ref="C71:D71"/>
    <mergeCell ref="C72:D72"/>
    <mergeCell ref="C73:D73"/>
    <mergeCell ref="H74:I74"/>
    <mergeCell ref="C65:D65"/>
    <mergeCell ref="C66:D66"/>
    <mergeCell ref="C67:D67"/>
    <mergeCell ref="C68:D68"/>
    <mergeCell ref="C69:D6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D5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11:D11"/>
    <mergeCell ref="H10:J10"/>
    <mergeCell ref="C12:D12"/>
    <mergeCell ref="C13:D13"/>
    <mergeCell ref="C14:D14"/>
    <mergeCell ref="I2:K3"/>
    <mergeCell ref="I4:K5"/>
    <mergeCell ref="I6:K7"/>
    <mergeCell ref="I8:K9"/>
    <mergeCell ref="C10:D10"/>
    <mergeCell ref="C8:D9"/>
    <mergeCell ref="G2:G3"/>
    <mergeCell ref="G4:G5"/>
    <mergeCell ref="G6:G7"/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9"/>
  <sheetViews>
    <sheetView topLeftCell="A12" workbookViewId="0">
      <selection activeCell="D21" sqref="D21:E21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95" t="s">
        <v>231</v>
      </c>
      <c r="B1" s="62"/>
      <c r="C1" s="62"/>
      <c r="D1" s="62"/>
      <c r="E1" s="62"/>
      <c r="F1" s="62"/>
      <c r="G1" s="62"/>
      <c r="H1" s="62"/>
      <c r="I1" s="62"/>
    </row>
    <row r="2" spans="1:9" x14ac:dyDescent="0.25">
      <c r="A2" s="63" t="s">
        <v>1</v>
      </c>
      <c r="B2" s="64"/>
      <c r="C2" s="98" t="str">
        <f>'Stavební rozpočet'!C2</f>
        <v>HŘBITOV - OPRAVA ZPEVNĚNÝCH PLOCH, ŠLAPANICE</v>
      </c>
      <c r="D2" s="73"/>
      <c r="E2" s="70" t="s">
        <v>3</v>
      </c>
      <c r="F2" s="70" t="str">
        <f>'Stavební rozpočet'!I2</f>
        <v> </v>
      </c>
      <c r="G2" s="64"/>
      <c r="H2" s="70" t="s">
        <v>232</v>
      </c>
      <c r="I2" s="75" t="s">
        <v>47</v>
      </c>
    </row>
    <row r="3" spans="1:9" ht="15" customHeight="1" x14ac:dyDescent="0.25">
      <c r="A3" s="65"/>
      <c r="B3" s="66"/>
      <c r="C3" s="74"/>
      <c r="D3" s="74"/>
      <c r="E3" s="66"/>
      <c r="F3" s="66"/>
      <c r="G3" s="66"/>
      <c r="H3" s="66"/>
      <c r="I3" s="76"/>
    </row>
    <row r="4" spans="1:9" x14ac:dyDescent="0.25">
      <c r="A4" s="67" t="s">
        <v>5</v>
      </c>
      <c r="B4" s="66"/>
      <c r="C4" s="71" t="str">
        <f>'Stavební rozpočet'!C4</f>
        <v>SO 01 ZPEVNĚNÉ PLOCHY - 1. etapa</v>
      </c>
      <c r="D4" s="66"/>
      <c r="E4" s="71" t="s">
        <v>8</v>
      </c>
      <c r="F4" s="71" t="str">
        <f>'Stavební rozpočet'!I4</f>
        <v> </v>
      </c>
      <c r="G4" s="66"/>
      <c r="H4" s="71" t="s">
        <v>232</v>
      </c>
      <c r="I4" s="76" t="s">
        <v>47</v>
      </c>
    </row>
    <row r="5" spans="1:9" ht="15" customHeight="1" x14ac:dyDescent="0.25">
      <c r="A5" s="65"/>
      <c r="B5" s="66"/>
      <c r="C5" s="66"/>
      <c r="D5" s="66"/>
      <c r="E5" s="66"/>
      <c r="F5" s="66"/>
      <c r="G5" s="66"/>
      <c r="H5" s="66"/>
      <c r="I5" s="76"/>
    </row>
    <row r="6" spans="1:9" x14ac:dyDescent="0.25">
      <c r="A6" s="67" t="s">
        <v>9</v>
      </c>
      <c r="B6" s="66"/>
      <c r="C6" s="71" t="str">
        <f>'Stavební rozpočet'!C6</f>
        <v>K.Ú. Šlapanice</v>
      </c>
      <c r="D6" s="66"/>
      <c r="E6" s="71" t="s">
        <v>12</v>
      </c>
      <c r="F6" s="96" t="str">
        <f>'Stavební rozpočet'!I6</f>
        <v> </v>
      </c>
      <c r="G6" s="77"/>
      <c r="H6" s="71" t="s">
        <v>232</v>
      </c>
      <c r="I6" s="78" t="s">
        <v>47</v>
      </c>
    </row>
    <row r="7" spans="1:9" ht="15" customHeight="1" x14ac:dyDescent="0.25">
      <c r="A7" s="65"/>
      <c r="B7" s="66"/>
      <c r="C7" s="66"/>
      <c r="D7" s="66"/>
      <c r="E7" s="66"/>
      <c r="F7" s="77"/>
      <c r="G7" s="77"/>
      <c r="H7" s="66"/>
      <c r="I7" s="78"/>
    </row>
    <row r="8" spans="1:9" x14ac:dyDescent="0.25">
      <c r="A8" s="67" t="s">
        <v>7</v>
      </c>
      <c r="B8" s="66"/>
      <c r="C8" s="71"/>
      <c r="D8" s="66"/>
      <c r="E8" s="71" t="s">
        <v>11</v>
      </c>
      <c r="F8" s="71"/>
      <c r="G8" s="66"/>
      <c r="H8" s="66" t="s">
        <v>233</v>
      </c>
      <c r="I8" s="97">
        <v>48</v>
      </c>
    </row>
    <row r="9" spans="1:9" x14ac:dyDescent="0.25">
      <c r="A9" s="65"/>
      <c r="B9" s="66"/>
      <c r="C9" s="66"/>
      <c r="D9" s="66"/>
      <c r="E9" s="66"/>
      <c r="F9" s="66"/>
      <c r="G9" s="66"/>
      <c r="H9" s="66"/>
      <c r="I9" s="76"/>
    </row>
    <row r="10" spans="1:9" x14ac:dyDescent="0.25">
      <c r="A10" s="67" t="s">
        <v>13</v>
      </c>
      <c r="B10" s="66"/>
      <c r="C10" s="71" t="str">
        <f>'Stavební rozpočet'!C8</f>
        <v>8225922</v>
      </c>
      <c r="D10" s="66"/>
      <c r="E10" s="71" t="s">
        <v>16</v>
      </c>
      <c r="F10" s="96"/>
      <c r="G10" s="77"/>
      <c r="H10" s="66" t="s">
        <v>234</v>
      </c>
      <c r="I10" s="99"/>
    </row>
    <row r="11" spans="1:9" x14ac:dyDescent="0.25">
      <c r="A11" s="105"/>
      <c r="B11" s="93"/>
      <c r="C11" s="93"/>
      <c r="D11" s="93"/>
      <c r="E11" s="93"/>
      <c r="F11" s="104"/>
      <c r="G11" s="104"/>
      <c r="H11" s="93"/>
      <c r="I11" s="100"/>
    </row>
    <row r="12" spans="1:9" ht="23.25" x14ac:dyDescent="0.25">
      <c r="A12" s="101" t="s">
        <v>235</v>
      </c>
      <c r="B12" s="101"/>
      <c r="C12" s="101"/>
      <c r="D12" s="101"/>
      <c r="E12" s="101"/>
      <c r="F12" s="101"/>
      <c r="G12" s="101"/>
      <c r="H12" s="101"/>
      <c r="I12" s="101"/>
    </row>
    <row r="13" spans="1:9" ht="26.25" customHeight="1" x14ac:dyDescent="0.25">
      <c r="A13" s="37" t="s">
        <v>236</v>
      </c>
      <c r="B13" s="102" t="s">
        <v>237</v>
      </c>
      <c r="C13" s="103"/>
      <c r="D13" s="38" t="s">
        <v>238</v>
      </c>
      <c r="E13" s="102" t="s">
        <v>239</v>
      </c>
      <c r="F13" s="103"/>
      <c r="G13" s="38" t="s">
        <v>240</v>
      </c>
      <c r="H13" s="102" t="s">
        <v>241</v>
      </c>
      <c r="I13" s="103"/>
    </row>
    <row r="14" spans="1:9" ht="15.75" x14ac:dyDescent="0.25">
      <c r="A14" s="39" t="s">
        <v>242</v>
      </c>
      <c r="B14" s="40" t="s">
        <v>243</v>
      </c>
      <c r="C14" s="41">
        <f>SUM('Stavební rozpočet'!AB12:AB146)</f>
        <v>0</v>
      </c>
      <c r="D14" s="112" t="s">
        <v>244</v>
      </c>
      <c r="E14" s="113"/>
      <c r="F14" s="41">
        <f>VORN!I15</f>
        <v>0</v>
      </c>
      <c r="G14" s="112" t="s">
        <v>213</v>
      </c>
      <c r="H14" s="113"/>
      <c r="I14" s="42">
        <f>VORN!I21</f>
        <v>0</v>
      </c>
    </row>
    <row r="15" spans="1:9" ht="15.75" x14ac:dyDescent="0.25">
      <c r="A15" s="43" t="s">
        <v>47</v>
      </c>
      <c r="B15" s="40" t="s">
        <v>32</v>
      </c>
      <c r="C15" s="41">
        <f>SUM('Stavební rozpočet'!AC12:AC146)</f>
        <v>0</v>
      </c>
      <c r="D15" s="112" t="s">
        <v>245</v>
      </c>
      <c r="E15" s="113"/>
      <c r="F15" s="41">
        <f>VORN!I16</f>
        <v>0</v>
      </c>
      <c r="G15" s="112" t="s">
        <v>246</v>
      </c>
      <c r="H15" s="113"/>
      <c r="I15" s="42">
        <f>VORN!I22</f>
        <v>0</v>
      </c>
    </row>
    <row r="16" spans="1:9" ht="15.75" x14ac:dyDescent="0.25">
      <c r="A16" s="39" t="s">
        <v>247</v>
      </c>
      <c r="B16" s="40" t="s">
        <v>243</v>
      </c>
      <c r="C16" s="41">
        <f>SUM('Stavební rozpočet'!AD12:AD146)</f>
        <v>0</v>
      </c>
      <c r="D16" s="112" t="s">
        <v>248</v>
      </c>
      <c r="E16" s="113"/>
      <c r="F16" s="41">
        <f>VORN!I17</f>
        <v>0</v>
      </c>
      <c r="G16" s="112" t="s">
        <v>249</v>
      </c>
      <c r="H16" s="113"/>
      <c r="I16" s="42">
        <f>VORN!I23</f>
        <v>0</v>
      </c>
    </row>
    <row r="17" spans="1:9" ht="15.75" x14ac:dyDescent="0.25">
      <c r="A17" s="43" t="s">
        <v>47</v>
      </c>
      <c r="B17" s="40" t="s">
        <v>32</v>
      </c>
      <c r="C17" s="41">
        <f>SUM('Stavební rozpočet'!AE12:AE146)</f>
        <v>0</v>
      </c>
      <c r="D17" s="112" t="s">
        <v>47</v>
      </c>
      <c r="E17" s="113"/>
      <c r="F17" s="42" t="s">
        <v>47</v>
      </c>
      <c r="G17" s="112" t="s">
        <v>224</v>
      </c>
      <c r="H17" s="113"/>
      <c r="I17" s="42">
        <f>VORN!I24</f>
        <v>0</v>
      </c>
    </row>
    <row r="18" spans="1:9" ht="15.75" x14ac:dyDescent="0.25">
      <c r="A18" s="39" t="s">
        <v>250</v>
      </c>
      <c r="B18" s="40" t="s">
        <v>243</v>
      </c>
      <c r="C18" s="41">
        <f>SUM('Stavební rozpočet'!AF12:AF146)</f>
        <v>0</v>
      </c>
      <c r="D18" s="112" t="s">
        <v>47</v>
      </c>
      <c r="E18" s="113"/>
      <c r="F18" s="42" t="s">
        <v>47</v>
      </c>
      <c r="G18" s="112" t="s">
        <v>251</v>
      </c>
      <c r="H18" s="113"/>
      <c r="I18" s="42">
        <f>VORN!I25</f>
        <v>0</v>
      </c>
    </row>
    <row r="19" spans="1:9" ht="15.75" x14ac:dyDescent="0.25">
      <c r="A19" s="43" t="s">
        <v>47</v>
      </c>
      <c r="B19" s="40" t="s">
        <v>32</v>
      </c>
      <c r="C19" s="41">
        <f>SUM('Stavební rozpočet'!AG12:AG146)</f>
        <v>0</v>
      </c>
      <c r="D19" s="112" t="s">
        <v>47</v>
      </c>
      <c r="E19" s="113"/>
      <c r="F19" s="42" t="s">
        <v>47</v>
      </c>
      <c r="G19" s="112" t="s">
        <v>252</v>
      </c>
      <c r="H19" s="113"/>
      <c r="I19" s="42">
        <f>VORN!I26</f>
        <v>0</v>
      </c>
    </row>
    <row r="20" spans="1:9" ht="15.75" x14ac:dyDescent="0.25">
      <c r="A20" s="106" t="s">
        <v>253</v>
      </c>
      <c r="B20" s="107"/>
      <c r="C20" s="41">
        <f>SUM('Stavební rozpočet'!AH12:AH146)</f>
        <v>0</v>
      </c>
      <c r="D20" s="112" t="s">
        <v>47</v>
      </c>
      <c r="E20" s="113"/>
      <c r="F20" s="42" t="s">
        <v>47</v>
      </c>
      <c r="G20" s="112" t="s">
        <v>47</v>
      </c>
      <c r="H20" s="113"/>
      <c r="I20" s="42" t="s">
        <v>47</v>
      </c>
    </row>
    <row r="21" spans="1:9" ht="15.75" x14ac:dyDescent="0.25">
      <c r="A21" s="108" t="s">
        <v>254</v>
      </c>
      <c r="B21" s="109"/>
      <c r="C21" s="44">
        <f>SUM('Stavební rozpočet'!Z12:Z146)</f>
        <v>0</v>
      </c>
      <c r="D21" s="114" t="s">
        <v>47</v>
      </c>
      <c r="E21" s="115"/>
      <c r="F21" s="45" t="s">
        <v>47</v>
      </c>
      <c r="G21" s="114" t="s">
        <v>47</v>
      </c>
      <c r="H21" s="115"/>
      <c r="I21" s="45" t="s">
        <v>47</v>
      </c>
    </row>
    <row r="22" spans="1:9" ht="16.5" customHeight="1" x14ac:dyDescent="0.25">
      <c r="A22" s="110" t="s">
        <v>255</v>
      </c>
      <c r="B22" s="111"/>
      <c r="C22" s="46">
        <f>ROUND(SUM(C14:C21),2)</f>
        <v>0</v>
      </c>
      <c r="D22" s="116" t="s">
        <v>256</v>
      </c>
      <c r="E22" s="111"/>
      <c r="F22" s="46">
        <f>SUM(F14:F21)</f>
        <v>0</v>
      </c>
      <c r="G22" s="116" t="s">
        <v>257</v>
      </c>
      <c r="H22" s="111"/>
      <c r="I22" s="46">
        <f>SUM(I14:I21)</f>
        <v>0</v>
      </c>
    </row>
    <row r="23" spans="1:9" ht="15.75" x14ac:dyDescent="0.25">
      <c r="D23" s="106" t="s">
        <v>258</v>
      </c>
      <c r="E23" s="107"/>
      <c r="F23" s="47">
        <v>0</v>
      </c>
      <c r="G23" s="117" t="s">
        <v>259</v>
      </c>
      <c r="H23" s="107"/>
      <c r="I23" s="41">
        <v>0</v>
      </c>
    </row>
    <row r="24" spans="1:9" ht="15.75" x14ac:dyDescent="0.25">
      <c r="G24" s="106" t="s">
        <v>260</v>
      </c>
      <c r="H24" s="107"/>
      <c r="I24" s="44">
        <f>vorn_sum</f>
        <v>0</v>
      </c>
    </row>
    <row r="25" spans="1:9" ht="15.75" x14ac:dyDescent="0.25">
      <c r="G25" s="106" t="s">
        <v>261</v>
      </c>
      <c r="H25" s="107"/>
      <c r="I25" s="46">
        <v>0</v>
      </c>
    </row>
    <row r="27" spans="1:9" ht="15.75" x14ac:dyDescent="0.25">
      <c r="A27" s="118" t="s">
        <v>262</v>
      </c>
      <c r="B27" s="119"/>
      <c r="C27" s="48">
        <f>ROUND(SUM('Stavební rozpočet'!AJ12:AJ146),2)</f>
        <v>0</v>
      </c>
    </row>
    <row r="28" spans="1:9" ht="15.75" x14ac:dyDescent="0.25">
      <c r="A28" s="120" t="s">
        <v>263</v>
      </c>
      <c r="B28" s="121"/>
      <c r="C28" s="49">
        <f>ROUND(SUM('Stavební rozpočet'!AK12:AK146),2)</f>
        <v>0</v>
      </c>
      <c r="D28" s="122" t="s">
        <v>264</v>
      </c>
      <c r="E28" s="119"/>
      <c r="F28" s="48">
        <f>ROUND(C28*(12/100),2)</f>
        <v>0</v>
      </c>
      <c r="G28" s="122" t="s">
        <v>265</v>
      </c>
      <c r="H28" s="119"/>
      <c r="I28" s="48">
        <f>ROUND(SUM(C27:C29),2)</f>
        <v>0</v>
      </c>
    </row>
    <row r="29" spans="1:9" ht="15.75" x14ac:dyDescent="0.25">
      <c r="A29" s="120" t="s">
        <v>266</v>
      </c>
      <c r="B29" s="121"/>
      <c r="C29" s="49">
        <f>ROUND(SUM('Stavební rozpočet'!AL12:AL146),2)</f>
        <v>0</v>
      </c>
      <c r="D29" s="123" t="s">
        <v>267</v>
      </c>
      <c r="E29" s="121"/>
      <c r="F29" s="49">
        <f>ROUND(C29*(21/100),2)</f>
        <v>0</v>
      </c>
      <c r="G29" s="123" t="s">
        <v>268</v>
      </c>
      <c r="H29" s="121"/>
      <c r="I29" s="49">
        <f>ROUND(SUM(F28:F29)+I28,2)</f>
        <v>0</v>
      </c>
    </row>
    <row r="31" spans="1:9" x14ac:dyDescent="0.25">
      <c r="A31" s="135" t="s">
        <v>269</v>
      </c>
      <c r="B31" s="127"/>
      <c r="C31" s="128"/>
      <c r="D31" s="126" t="s">
        <v>270</v>
      </c>
      <c r="E31" s="127"/>
      <c r="F31" s="128"/>
      <c r="G31" s="126" t="s">
        <v>271</v>
      </c>
      <c r="H31" s="127"/>
      <c r="I31" s="128"/>
    </row>
    <row r="32" spans="1:9" x14ac:dyDescent="0.25">
      <c r="A32" s="136" t="s">
        <v>47</v>
      </c>
      <c r="B32" s="130"/>
      <c r="C32" s="131"/>
      <c r="D32" s="129" t="s">
        <v>47</v>
      </c>
      <c r="E32" s="130"/>
      <c r="F32" s="131"/>
      <c r="G32" s="129" t="s">
        <v>47</v>
      </c>
      <c r="H32" s="130"/>
      <c r="I32" s="131"/>
    </row>
    <row r="33" spans="1:9" x14ac:dyDescent="0.25">
      <c r="A33" s="136" t="s">
        <v>47</v>
      </c>
      <c r="B33" s="130"/>
      <c r="C33" s="131"/>
      <c r="D33" s="129" t="s">
        <v>47</v>
      </c>
      <c r="E33" s="130"/>
      <c r="F33" s="131"/>
      <c r="G33" s="129" t="s">
        <v>47</v>
      </c>
      <c r="H33" s="130"/>
      <c r="I33" s="131"/>
    </row>
    <row r="34" spans="1:9" x14ac:dyDescent="0.25">
      <c r="A34" s="136" t="s">
        <v>47</v>
      </c>
      <c r="B34" s="130"/>
      <c r="C34" s="131"/>
      <c r="D34" s="129" t="s">
        <v>47</v>
      </c>
      <c r="E34" s="130"/>
      <c r="F34" s="131"/>
      <c r="G34" s="129" t="s">
        <v>47</v>
      </c>
      <c r="H34" s="130"/>
      <c r="I34" s="131"/>
    </row>
    <row r="35" spans="1:9" x14ac:dyDescent="0.25">
      <c r="A35" s="137" t="s">
        <v>272</v>
      </c>
      <c r="B35" s="133"/>
      <c r="C35" s="134"/>
      <c r="D35" s="132" t="s">
        <v>272</v>
      </c>
      <c r="E35" s="133"/>
      <c r="F35" s="134"/>
      <c r="G35" s="132" t="s">
        <v>272</v>
      </c>
      <c r="H35" s="133"/>
      <c r="I35" s="134"/>
    </row>
    <row r="36" spans="1:9" x14ac:dyDescent="0.25">
      <c r="A36" s="50" t="s">
        <v>230</v>
      </c>
    </row>
    <row r="37" spans="1:9" ht="12.75" customHeight="1" x14ac:dyDescent="0.25">
      <c r="A37" s="124" t="s">
        <v>290</v>
      </c>
      <c r="B37" s="125"/>
      <c r="C37" s="125"/>
      <c r="D37" s="125"/>
      <c r="E37" s="125"/>
      <c r="F37" s="125"/>
      <c r="G37" s="125"/>
      <c r="H37" s="125"/>
      <c r="I37" s="125"/>
    </row>
    <row r="38" spans="1:9" ht="15" customHeight="1" x14ac:dyDescent="0.25">
      <c r="A38" s="59" t="s">
        <v>291</v>
      </c>
      <c r="B38" s="59"/>
      <c r="C38" s="59" t="s">
        <v>292</v>
      </c>
      <c r="D38" s="59"/>
      <c r="E38" s="59"/>
      <c r="F38" s="59"/>
      <c r="G38" s="59"/>
      <c r="H38" s="59"/>
      <c r="I38" s="59"/>
    </row>
    <row r="39" spans="1:9" ht="15" customHeight="1" x14ac:dyDescent="0.25">
      <c r="A39" s="59"/>
      <c r="B39" s="59"/>
      <c r="C39" s="59" t="s">
        <v>293</v>
      </c>
      <c r="D39" s="59"/>
      <c r="E39" s="59"/>
      <c r="F39" s="59"/>
      <c r="G39" s="59"/>
      <c r="H39" s="59"/>
      <c r="I39" s="59"/>
    </row>
  </sheetData>
  <mergeCells count="83"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I10:I11"/>
    <mergeCell ref="A12:I12"/>
    <mergeCell ref="B13:C13"/>
    <mergeCell ref="E13:F13"/>
    <mergeCell ref="H13:I13"/>
    <mergeCell ref="F10:G11"/>
    <mergeCell ref="A10:B11"/>
    <mergeCell ref="H2:H3"/>
    <mergeCell ref="H4:H5"/>
    <mergeCell ref="H6:H7"/>
    <mergeCell ref="H8:H9"/>
    <mergeCell ref="H10:H11"/>
    <mergeCell ref="C8:D9"/>
    <mergeCell ref="C10:D11"/>
    <mergeCell ref="E2:E3"/>
    <mergeCell ref="E4:E5"/>
    <mergeCell ref="E6:E7"/>
    <mergeCell ref="E8:E9"/>
    <mergeCell ref="E10:E11"/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</mergeCells>
  <pageMargins left="0.393999993801117" right="0.393999993801117" top="0.59100002050399802" bottom="0.59100002050399802" header="0" footer="0"/>
  <pageSetup scale="8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95" t="s">
        <v>199</v>
      </c>
      <c r="B1" s="62"/>
      <c r="C1" s="62"/>
      <c r="D1" s="62"/>
      <c r="E1" s="62"/>
      <c r="F1" s="62"/>
      <c r="G1" s="62"/>
      <c r="H1" s="62"/>
      <c r="I1" s="62"/>
    </row>
    <row r="2" spans="1:9" x14ac:dyDescent="0.25">
      <c r="A2" s="63" t="s">
        <v>1</v>
      </c>
      <c r="B2" s="64"/>
      <c r="C2" s="98" t="str">
        <f>'Stavební rozpočet'!C2</f>
        <v>HŘBITOV - OPRAVA ZPEVNĚNÝCH PLOCH, ŠLAPANICE</v>
      </c>
      <c r="D2" s="73"/>
      <c r="E2" s="70" t="s">
        <v>3</v>
      </c>
      <c r="F2" s="70" t="str">
        <f>'Stavební rozpočet'!I2</f>
        <v> </v>
      </c>
      <c r="G2" s="64"/>
      <c r="H2" s="70" t="s">
        <v>232</v>
      </c>
      <c r="I2" s="75" t="s">
        <v>47</v>
      </c>
    </row>
    <row r="3" spans="1:9" ht="15" customHeight="1" x14ac:dyDescent="0.25">
      <c r="A3" s="65"/>
      <c r="B3" s="66"/>
      <c r="C3" s="74"/>
      <c r="D3" s="74"/>
      <c r="E3" s="66"/>
      <c r="F3" s="66"/>
      <c r="G3" s="66"/>
      <c r="H3" s="66"/>
      <c r="I3" s="76"/>
    </row>
    <row r="4" spans="1:9" x14ac:dyDescent="0.25">
      <c r="A4" s="67" t="s">
        <v>5</v>
      </c>
      <c r="B4" s="66"/>
      <c r="C4" s="71" t="str">
        <f>'Stavební rozpočet'!C4</f>
        <v>SO 01 ZPEVNĚNÉ PLOCHY - 1. etapa</v>
      </c>
      <c r="D4" s="66"/>
      <c r="E4" s="71" t="s">
        <v>8</v>
      </c>
      <c r="F4" s="71" t="str">
        <f>'Stavební rozpočet'!I4</f>
        <v> </v>
      </c>
      <c r="G4" s="66"/>
      <c r="H4" s="71" t="s">
        <v>232</v>
      </c>
      <c r="I4" s="76" t="s">
        <v>47</v>
      </c>
    </row>
    <row r="5" spans="1:9" ht="15" customHeight="1" x14ac:dyDescent="0.25">
      <c r="A5" s="65"/>
      <c r="B5" s="66"/>
      <c r="C5" s="66"/>
      <c r="D5" s="66"/>
      <c r="E5" s="66"/>
      <c r="F5" s="66"/>
      <c r="G5" s="66"/>
      <c r="H5" s="66"/>
      <c r="I5" s="76"/>
    </row>
    <row r="6" spans="1:9" x14ac:dyDescent="0.25">
      <c r="A6" s="67" t="s">
        <v>9</v>
      </c>
      <c r="B6" s="66"/>
      <c r="C6" s="71" t="str">
        <f>'Stavební rozpočet'!C6</f>
        <v>K.Ú. Šlapanice</v>
      </c>
      <c r="D6" s="66"/>
      <c r="E6" s="71" t="s">
        <v>12</v>
      </c>
      <c r="F6" s="71" t="str">
        <f>'Stavební rozpočet'!I6</f>
        <v> </v>
      </c>
      <c r="G6" s="66"/>
      <c r="H6" s="71" t="s">
        <v>232</v>
      </c>
      <c r="I6" s="76" t="s">
        <v>47</v>
      </c>
    </row>
    <row r="7" spans="1:9" ht="15" customHeight="1" x14ac:dyDescent="0.25">
      <c r="A7" s="65"/>
      <c r="B7" s="66"/>
      <c r="C7" s="66"/>
      <c r="D7" s="66"/>
      <c r="E7" s="66"/>
      <c r="F7" s="66"/>
      <c r="G7" s="66"/>
      <c r="H7" s="66"/>
      <c r="I7" s="76"/>
    </row>
    <row r="8" spans="1:9" x14ac:dyDescent="0.25">
      <c r="A8" s="67" t="s">
        <v>7</v>
      </c>
      <c r="B8" s="66"/>
      <c r="C8" s="71">
        <f>'Stavební rozpočet'!G4</f>
        <v>0</v>
      </c>
      <c r="D8" s="66"/>
      <c r="E8" s="71" t="s">
        <v>11</v>
      </c>
      <c r="F8" s="71">
        <f>'Stavební rozpočet'!G6</f>
        <v>0</v>
      </c>
      <c r="G8" s="66"/>
      <c r="H8" s="66" t="s">
        <v>233</v>
      </c>
      <c r="I8" s="97">
        <v>48</v>
      </c>
    </row>
    <row r="9" spans="1:9" x14ac:dyDescent="0.25">
      <c r="A9" s="65"/>
      <c r="B9" s="66"/>
      <c r="C9" s="66"/>
      <c r="D9" s="66"/>
      <c r="E9" s="66"/>
      <c r="F9" s="66"/>
      <c r="G9" s="66"/>
      <c r="H9" s="66"/>
      <c r="I9" s="76"/>
    </row>
    <row r="10" spans="1:9" x14ac:dyDescent="0.25">
      <c r="A10" s="67" t="s">
        <v>13</v>
      </c>
      <c r="B10" s="66"/>
      <c r="C10" s="71" t="str">
        <f>'Stavební rozpočet'!C8</f>
        <v>8225922</v>
      </c>
      <c r="D10" s="66"/>
      <c r="E10" s="71" t="s">
        <v>16</v>
      </c>
      <c r="F10" s="71">
        <f>'Stavební rozpočet'!I8</f>
        <v>0</v>
      </c>
      <c r="G10" s="66"/>
      <c r="H10" s="66" t="s">
        <v>234</v>
      </c>
      <c r="I10" s="99">
        <f>'Stavební rozpočet'!G8</f>
        <v>0</v>
      </c>
    </row>
    <row r="11" spans="1:9" x14ac:dyDescent="0.25">
      <c r="A11" s="105"/>
      <c r="B11" s="93"/>
      <c r="C11" s="93"/>
      <c r="D11" s="93"/>
      <c r="E11" s="93"/>
      <c r="F11" s="93"/>
      <c r="G11" s="93"/>
      <c r="H11" s="93"/>
      <c r="I11" s="100"/>
    </row>
    <row r="13" spans="1:9" ht="15.75" x14ac:dyDescent="0.25">
      <c r="A13" s="138" t="s">
        <v>273</v>
      </c>
      <c r="B13" s="138"/>
      <c r="C13" s="138"/>
      <c r="D13" s="138"/>
      <c r="E13" s="138"/>
    </row>
    <row r="14" spans="1:9" x14ac:dyDescent="0.25">
      <c r="A14" s="139" t="s">
        <v>274</v>
      </c>
      <c r="B14" s="140"/>
      <c r="C14" s="140"/>
      <c r="D14" s="140"/>
      <c r="E14" s="141"/>
      <c r="F14" s="51" t="s">
        <v>275</v>
      </c>
      <c r="G14" s="51" t="s">
        <v>276</v>
      </c>
      <c r="H14" s="51" t="s">
        <v>277</v>
      </c>
      <c r="I14" s="51" t="s">
        <v>275</v>
      </c>
    </row>
    <row r="15" spans="1:9" x14ac:dyDescent="0.25">
      <c r="A15" s="142" t="s">
        <v>244</v>
      </c>
      <c r="B15" s="143"/>
      <c r="C15" s="143"/>
      <c r="D15" s="143"/>
      <c r="E15" s="144"/>
      <c r="F15" s="52">
        <v>0</v>
      </c>
      <c r="G15" s="53" t="s">
        <v>47</v>
      </c>
      <c r="H15" s="53" t="s">
        <v>47</v>
      </c>
      <c r="I15" s="52">
        <f>F15</f>
        <v>0</v>
      </c>
    </row>
    <row r="16" spans="1:9" x14ac:dyDescent="0.25">
      <c r="A16" s="142" t="s">
        <v>245</v>
      </c>
      <c r="B16" s="143"/>
      <c r="C16" s="143"/>
      <c r="D16" s="143"/>
      <c r="E16" s="144"/>
      <c r="F16" s="52">
        <v>0</v>
      </c>
      <c r="G16" s="53" t="s">
        <v>47</v>
      </c>
      <c r="H16" s="53" t="s">
        <v>47</v>
      </c>
      <c r="I16" s="52">
        <f>F16</f>
        <v>0</v>
      </c>
    </row>
    <row r="17" spans="1:9" x14ac:dyDescent="0.25">
      <c r="A17" s="145" t="s">
        <v>248</v>
      </c>
      <c r="B17" s="146"/>
      <c r="C17" s="146"/>
      <c r="D17" s="146"/>
      <c r="E17" s="147"/>
      <c r="F17" s="54">
        <v>0</v>
      </c>
      <c r="G17" s="55" t="s">
        <v>47</v>
      </c>
      <c r="H17" s="55" t="s">
        <v>47</v>
      </c>
      <c r="I17" s="54">
        <f>F17</f>
        <v>0</v>
      </c>
    </row>
    <row r="18" spans="1:9" x14ac:dyDescent="0.25">
      <c r="A18" s="148" t="s">
        <v>278</v>
      </c>
      <c r="B18" s="149"/>
      <c r="C18" s="149"/>
      <c r="D18" s="149"/>
      <c r="E18" s="150"/>
      <c r="F18" s="56" t="s">
        <v>47</v>
      </c>
      <c r="G18" s="57" t="s">
        <v>47</v>
      </c>
      <c r="H18" s="57" t="s">
        <v>47</v>
      </c>
      <c r="I18" s="58">
        <f>SUM(I15:I17)</f>
        <v>0</v>
      </c>
    </row>
    <row r="20" spans="1:9" x14ac:dyDescent="0.25">
      <c r="A20" s="139" t="s">
        <v>241</v>
      </c>
      <c r="B20" s="140"/>
      <c r="C20" s="140"/>
      <c r="D20" s="140"/>
      <c r="E20" s="141"/>
      <c r="F20" s="51" t="s">
        <v>275</v>
      </c>
      <c r="G20" s="51" t="s">
        <v>276</v>
      </c>
      <c r="H20" s="51" t="s">
        <v>277</v>
      </c>
      <c r="I20" s="51" t="s">
        <v>275</v>
      </c>
    </row>
    <row r="21" spans="1:9" x14ac:dyDescent="0.25">
      <c r="A21" s="142" t="s">
        <v>213</v>
      </c>
      <c r="B21" s="143"/>
      <c r="C21" s="143"/>
      <c r="D21" s="143"/>
      <c r="E21" s="144"/>
      <c r="F21" s="52">
        <v>0</v>
      </c>
      <c r="G21" s="53" t="s">
        <v>47</v>
      </c>
      <c r="H21" s="53" t="s">
        <v>47</v>
      </c>
      <c r="I21" s="52">
        <f t="shared" ref="I21:I26" si="0">F21</f>
        <v>0</v>
      </c>
    </row>
    <row r="22" spans="1:9" x14ac:dyDescent="0.25">
      <c r="A22" s="142" t="s">
        <v>246</v>
      </c>
      <c r="B22" s="143"/>
      <c r="C22" s="143"/>
      <c r="D22" s="143"/>
      <c r="E22" s="144"/>
      <c r="F22" s="52">
        <v>0</v>
      </c>
      <c r="G22" s="53" t="s">
        <v>47</v>
      </c>
      <c r="H22" s="53" t="s">
        <v>47</v>
      </c>
      <c r="I22" s="52">
        <f t="shared" si="0"/>
        <v>0</v>
      </c>
    </row>
    <row r="23" spans="1:9" x14ac:dyDescent="0.25">
      <c r="A23" s="142" t="s">
        <v>249</v>
      </c>
      <c r="B23" s="143"/>
      <c r="C23" s="143"/>
      <c r="D23" s="143"/>
      <c r="E23" s="144"/>
      <c r="F23" s="52">
        <v>0</v>
      </c>
      <c r="G23" s="53" t="s">
        <v>47</v>
      </c>
      <c r="H23" s="53" t="s">
        <v>47</v>
      </c>
      <c r="I23" s="52">
        <f t="shared" si="0"/>
        <v>0</v>
      </c>
    </row>
    <row r="24" spans="1:9" x14ac:dyDescent="0.25">
      <c r="A24" s="142" t="s">
        <v>224</v>
      </c>
      <c r="B24" s="143"/>
      <c r="C24" s="143"/>
      <c r="D24" s="143"/>
      <c r="E24" s="144"/>
      <c r="F24" s="52">
        <v>0</v>
      </c>
      <c r="G24" s="53" t="s">
        <v>47</v>
      </c>
      <c r="H24" s="53" t="s">
        <v>47</v>
      </c>
      <c r="I24" s="52">
        <f t="shared" si="0"/>
        <v>0</v>
      </c>
    </row>
    <row r="25" spans="1:9" x14ac:dyDescent="0.25">
      <c r="A25" s="142" t="s">
        <v>251</v>
      </c>
      <c r="B25" s="143"/>
      <c r="C25" s="143"/>
      <c r="D25" s="143"/>
      <c r="E25" s="144"/>
      <c r="F25" s="52">
        <v>0</v>
      </c>
      <c r="G25" s="53" t="s">
        <v>47</v>
      </c>
      <c r="H25" s="53" t="s">
        <v>47</v>
      </c>
      <c r="I25" s="52">
        <f t="shared" si="0"/>
        <v>0</v>
      </c>
    </row>
    <row r="26" spans="1:9" x14ac:dyDescent="0.25">
      <c r="A26" s="145" t="s">
        <v>252</v>
      </c>
      <c r="B26" s="146"/>
      <c r="C26" s="146"/>
      <c r="D26" s="146"/>
      <c r="E26" s="147"/>
      <c r="F26" s="54">
        <v>0</v>
      </c>
      <c r="G26" s="55" t="s">
        <v>47</v>
      </c>
      <c r="H26" s="55" t="s">
        <v>47</v>
      </c>
      <c r="I26" s="54">
        <f t="shared" si="0"/>
        <v>0</v>
      </c>
    </row>
    <row r="27" spans="1:9" x14ac:dyDescent="0.25">
      <c r="A27" s="148" t="s">
        <v>279</v>
      </c>
      <c r="B27" s="149"/>
      <c r="C27" s="149"/>
      <c r="D27" s="149"/>
      <c r="E27" s="150"/>
      <c r="F27" s="56" t="s">
        <v>47</v>
      </c>
      <c r="G27" s="57" t="s">
        <v>47</v>
      </c>
      <c r="H27" s="57" t="s">
        <v>47</v>
      </c>
      <c r="I27" s="58">
        <f>SUM(I21:I26)</f>
        <v>0</v>
      </c>
    </row>
    <row r="29" spans="1:9" ht="15.75" x14ac:dyDescent="0.25">
      <c r="A29" s="151" t="s">
        <v>280</v>
      </c>
      <c r="B29" s="152"/>
      <c r="C29" s="152"/>
      <c r="D29" s="152"/>
      <c r="E29" s="153"/>
      <c r="F29" s="154">
        <f>I18+I27</f>
        <v>0</v>
      </c>
      <c r="G29" s="155"/>
      <c r="H29" s="155"/>
      <c r="I29" s="156"/>
    </row>
    <row r="33" spans="1:9" ht="15.75" x14ac:dyDescent="0.25">
      <c r="A33" s="138" t="s">
        <v>281</v>
      </c>
      <c r="B33" s="138"/>
      <c r="C33" s="138"/>
      <c r="D33" s="138"/>
      <c r="E33" s="138"/>
    </row>
    <row r="34" spans="1:9" x14ac:dyDescent="0.25">
      <c r="A34" s="139" t="s">
        <v>282</v>
      </c>
      <c r="B34" s="140"/>
      <c r="C34" s="140"/>
      <c r="D34" s="140"/>
      <c r="E34" s="141"/>
      <c r="F34" s="51" t="s">
        <v>275</v>
      </c>
      <c r="G34" s="51" t="s">
        <v>276</v>
      </c>
      <c r="H34" s="51" t="s">
        <v>277</v>
      </c>
      <c r="I34" s="51" t="s">
        <v>275</v>
      </c>
    </row>
    <row r="35" spans="1:9" x14ac:dyDescent="0.25">
      <c r="A35" s="142" t="s">
        <v>201</v>
      </c>
      <c r="B35" s="143"/>
      <c r="C35" s="143"/>
      <c r="D35" s="143"/>
      <c r="E35" s="144"/>
      <c r="F35" s="52">
        <f>SUM('Stavební rozpočet'!BM12:BM146)</f>
        <v>0</v>
      </c>
      <c r="G35" s="53" t="s">
        <v>47</v>
      </c>
      <c r="H35" s="53" t="s">
        <v>47</v>
      </c>
      <c r="I35" s="52">
        <f t="shared" ref="I35:I44" si="1">F35</f>
        <v>0</v>
      </c>
    </row>
    <row r="36" spans="1:9" x14ac:dyDescent="0.25">
      <c r="A36" s="142" t="s">
        <v>283</v>
      </c>
      <c r="B36" s="143"/>
      <c r="C36" s="143"/>
      <c r="D36" s="143"/>
      <c r="E36" s="144"/>
      <c r="F36" s="52">
        <f>SUM('Stavební rozpočet'!BN12:BN146)</f>
        <v>0</v>
      </c>
      <c r="G36" s="53" t="s">
        <v>47</v>
      </c>
      <c r="H36" s="53" t="s">
        <v>47</v>
      </c>
      <c r="I36" s="52">
        <f t="shared" si="1"/>
        <v>0</v>
      </c>
    </row>
    <row r="37" spans="1:9" x14ac:dyDescent="0.25">
      <c r="A37" s="142" t="s">
        <v>213</v>
      </c>
      <c r="B37" s="143"/>
      <c r="C37" s="143"/>
      <c r="D37" s="143"/>
      <c r="E37" s="144"/>
      <c r="F37" s="52">
        <f>SUM('Stavební rozpočet'!BO12:BO146)</f>
        <v>0</v>
      </c>
      <c r="G37" s="53" t="s">
        <v>47</v>
      </c>
      <c r="H37" s="53" t="s">
        <v>47</v>
      </c>
      <c r="I37" s="52">
        <f t="shared" si="1"/>
        <v>0</v>
      </c>
    </row>
    <row r="38" spans="1:9" x14ac:dyDescent="0.25">
      <c r="A38" s="142" t="s">
        <v>284</v>
      </c>
      <c r="B38" s="143"/>
      <c r="C38" s="143"/>
      <c r="D38" s="143"/>
      <c r="E38" s="144"/>
      <c r="F38" s="52">
        <f>SUM('Stavební rozpočet'!BP12:BP146)</f>
        <v>0</v>
      </c>
      <c r="G38" s="53" t="s">
        <v>47</v>
      </c>
      <c r="H38" s="53" t="s">
        <v>47</v>
      </c>
      <c r="I38" s="52">
        <f t="shared" si="1"/>
        <v>0</v>
      </c>
    </row>
    <row r="39" spans="1:9" x14ac:dyDescent="0.25">
      <c r="A39" s="142" t="s">
        <v>285</v>
      </c>
      <c r="B39" s="143"/>
      <c r="C39" s="143"/>
      <c r="D39" s="143"/>
      <c r="E39" s="144"/>
      <c r="F39" s="52">
        <f>SUM('Stavební rozpočet'!BQ12:BQ146)</f>
        <v>0</v>
      </c>
      <c r="G39" s="53" t="s">
        <v>47</v>
      </c>
      <c r="H39" s="53" t="s">
        <v>47</v>
      </c>
      <c r="I39" s="52">
        <f t="shared" si="1"/>
        <v>0</v>
      </c>
    </row>
    <row r="40" spans="1:9" x14ac:dyDescent="0.25">
      <c r="A40" s="142" t="s">
        <v>249</v>
      </c>
      <c r="B40" s="143"/>
      <c r="C40" s="143"/>
      <c r="D40" s="143"/>
      <c r="E40" s="144"/>
      <c r="F40" s="52">
        <f>SUM('Stavební rozpočet'!BR12:BR146)</f>
        <v>0</v>
      </c>
      <c r="G40" s="53" t="s">
        <v>47</v>
      </c>
      <c r="H40" s="53" t="s">
        <v>47</v>
      </c>
      <c r="I40" s="52">
        <f t="shared" si="1"/>
        <v>0</v>
      </c>
    </row>
    <row r="41" spans="1:9" x14ac:dyDescent="0.25">
      <c r="A41" s="142" t="s">
        <v>224</v>
      </c>
      <c r="B41" s="143"/>
      <c r="C41" s="143"/>
      <c r="D41" s="143"/>
      <c r="E41" s="144"/>
      <c r="F41" s="52">
        <f>SUM('Stavební rozpočet'!BS12:BS146)</f>
        <v>0</v>
      </c>
      <c r="G41" s="53" t="s">
        <v>47</v>
      </c>
      <c r="H41" s="53" t="s">
        <v>47</v>
      </c>
      <c r="I41" s="52">
        <f t="shared" si="1"/>
        <v>0</v>
      </c>
    </row>
    <row r="42" spans="1:9" x14ac:dyDescent="0.25">
      <c r="A42" s="142" t="s">
        <v>286</v>
      </c>
      <c r="B42" s="143"/>
      <c r="C42" s="143"/>
      <c r="D42" s="143"/>
      <c r="E42" s="144"/>
      <c r="F42" s="52">
        <f>SUM('Stavební rozpočet'!BT12:BT146)</f>
        <v>0</v>
      </c>
      <c r="G42" s="53" t="s">
        <v>47</v>
      </c>
      <c r="H42" s="53" t="s">
        <v>47</v>
      </c>
      <c r="I42" s="52">
        <f t="shared" si="1"/>
        <v>0</v>
      </c>
    </row>
    <row r="43" spans="1:9" x14ac:dyDescent="0.25">
      <c r="A43" s="142" t="s">
        <v>287</v>
      </c>
      <c r="B43" s="143"/>
      <c r="C43" s="143"/>
      <c r="D43" s="143"/>
      <c r="E43" s="144"/>
      <c r="F43" s="52">
        <f>SUM('Stavební rozpočet'!BU12:BU146)</f>
        <v>0</v>
      </c>
      <c r="G43" s="53" t="s">
        <v>47</v>
      </c>
      <c r="H43" s="53" t="s">
        <v>47</v>
      </c>
      <c r="I43" s="52">
        <f t="shared" si="1"/>
        <v>0</v>
      </c>
    </row>
    <row r="44" spans="1:9" x14ac:dyDescent="0.25">
      <c r="A44" s="145" t="s">
        <v>288</v>
      </c>
      <c r="B44" s="146"/>
      <c r="C44" s="146"/>
      <c r="D44" s="146"/>
      <c r="E44" s="147"/>
      <c r="F44" s="54">
        <f>SUM('Stavební rozpočet'!BV12:BV146)</f>
        <v>0</v>
      </c>
      <c r="G44" s="55" t="s">
        <v>47</v>
      </c>
      <c r="H44" s="55" t="s">
        <v>47</v>
      </c>
      <c r="I44" s="54">
        <f t="shared" si="1"/>
        <v>0</v>
      </c>
    </row>
    <row r="45" spans="1:9" x14ac:dyDescent="0.25">
      <c r="A45" s="148" t="s">
        <v>289</v>
      </c>
      <c r="B45" s="149"/>
      <c r="C45" s="149"/>
      <c r="D45" s="149"/>
      <c r="E45" s="150"/>
      <c r="F45" s="56" t="s">
        <v>47</v>
      </c>
      <c r="G45" s="57" t="s">
        <v>47</v>
      </c>
      <c r="H45" s="57" t="s">
        <v>47</v>
      </c>
      <c r="I45" s="58">
        <f>SUM(I35:I44)</f>
        <v>0</v>
      </c>
    </row>
  </sheetData>
  <mergeCells count="60">
    <mergeCell ref="A41:E41"/>
    <mergeCell ref="A42:E42"/>
    <mergeCell ref="A43:E43"/>
    <mergeCell ref="A44:E44"/>
    <mergeCell ref="A45:E45"/>
    <mergeCell ref="A36:E36"/>
    <mergeCell ref="A37:E37"/>
    <mergeCell ref="A38:E38"/>
    <mergeCell ref="A39:E39"/>
    <mergeCell ref="A40:E40"/>
    <mergeCell ref="A29:E29"/>
    <mergeCell ref="F29:I29"/>
    <mergeCell ref="A33:E33"/>
    <mergeCell ref="A34:E34"/>
    <mergeCell ref="A35:E35"/>
    <mergeCell ref="A23:E23"/>
    <mergeCell ref="A24:E24"/>
    <mergeCell ref="A25:E25"/>
    <mergeCell ref="A26:E26"/>
    <mergeCell ref="A27:E27"/>
    <mergeCell ref="A17:E17"/>
    <mergeCell ref="A18:E18"/>
    <mergeCell ref="A20:E20"/>
    <mergeCell ref="A21:E21"/>
    <mergeCell ref="A22:E22"/>
    <mergeCell ref="I10:I11"/>
    <mergeCell ref="A13:E13"/>
    <mergeCell ref="A14:E14"/>
    <mergeCell ref="A15:E15"/>
    <mergeCell ref="A16:E16"/>
    <mergeCell ref="H10:H11"/>
    <mergeCell ref="A10:B11"/>
    <mergeCell ref="C2:D3"/>
    <mergeCell ref="C4:D5"/>
    <mergeCell ref="C6:D7"/>
    <mergeCell ref="C8:D9"/>
    <mergeCell ref="C10:D11"/>
    <mergeCell ref="E8:E9"/>
    <mergeCell ref="E10:E11"/>
    <mergeCell ref="F2:G3"/>
    <mergeCell ref="F4:G5"/>
    <mergeCell ref="F6:G7"/>
    <mergeCell ref="F8:G9"/>
    <mergeCell ref="F10:G11"/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Stavební rozpočet</vt:lpstr>
      <vt:lpstr>Krycí list rozpočtu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Zichová Jitka</cp:lastModifiedBy>
  <cp:lastPrinted>2025-10-08T13:50:18Z</cp:lastPrinted>
  <dcterms:created xsi:type="dcterms:W3CDTF">2021-06-10T20:06:38Z</dcterms:created>
  <dcterms:modified xsi:type="dcterms:W3CDTF">2025-10-08T14:51:31Z</dcterms:modified>
</cp:coreProperties>
</file>